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anici-my.sharepoint.com/personal/jparker_canadaicicapital_ca/Documents/Desktop/"/>
    </mc:Choice>
  </mc:AlternateContent>
  <xr:revisionPtr revIDLastSave="0" documentId="8_{18E3A91D-E875-4E77-B811-0240567D68C3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UfEdHVPIDOPQzsaBpJUlUZUE3czo9rM7d+nOcfWjDY4="/>
    </ext>
  </extLst>
</workbook>
</file>

<file path=xl/calcChain.xml><?xml version="1.0" encoding="utf-8"?>
<calcChain xmlns="http://schemas.openxmlformats.org/spreadsheetml/2006/main">
  <c r="P50" i="1" l="1"/>
  <c r="P48" i="1"/>
  <c r="O50" i="1"/>
  <c r="O49" i="1"/>
  <c r="O48" i="1"/>
  <c r="O47" i="1"/>
  <c r="J96" i="1"/>
  <c r="I96" i="1"/>
  <c r="H96" i="1"/>
  <c r="G96" i="1"/>
  <c r="F96" i="1"/>
  <c r="J94" i="1"/>
  <c r="I94" i="1"/>
  <c r="H94" i="1"/>
  <c r="G94" i="1"/>
  <c r="F94" i="1"/>
  <c r="E94" i="1"/>
  <c r="E96" i="1" s="1"/>
  <c r="D94" i="1"/>
  <c r="D96" i="1" s="1"/>
  <c r="H86" i="1"/>
  <c r="H69" i="1"/>
  <c r="F69" i="1"/>
  <c r="F68" i="1"/>
  <c r="F74" i="1" s="1"/>
  <c r="F80" i="1" s="1"/>
  <c r="H67" i="1"/>
  <c r="H70" i="1" s="1"/>
  <c r="H64" i="1"/>
  <c r="J63" i="1"/>
  <c r="I63" i="1"/>
  <c r="I69" i="1" s="1"/>
  <c r="H63" i="1"/>
  <c r="G63" i="1"/>
  <c r="G69" i="1" s="1"/>
  <c r="F63" i="1"/>
  <c r="E63" i="1"/>
  <c r="E69" i="1" s="1"/>
  <c r="E75" i="1" s="1"/>
  <c r="E81" i="1" s="1"/>
  <c r="D63" i="1"/>
  <c r="D69" i="1" s="1"/>
  <c r="D75" i="1" s="1"/>
  <c r="D81" i="1" s="1"/>
  <c r="J62" i="1"/>
  <c r="I62" i="1"/>
  <c r="I68" i="1" s="1"/>
  <c r="H62" i="1"/>
  <c r="H68" i="1" s="1"/>
  <c r="G62" i="1"/>
  <c r="G68" i="1" s="1"/>
  <c r="F62" i="1"/>
  <c r="E62" i="1"/>
  <c r="E64" i="1" s="1"/>
  <c r="D62" i="1"/>
  <c r="D68" i="1" s="1"/>
  <c r="D74" i="1" s="1"/>
  <c r="D80" i="1" s="1"/>
  <c r="J61" i="1"/>
  <c r="J64" i="1" s="1"/>
  <c r="I61" i="1"/>
  <c r="I67" i="1" s="1"/>
  <c r="H61" i="1"/>
  <c r="G61" i="1"/>
  <c r="G67" i="1" s="1"/>
  <c r="F61" i="1"/>
  <c r="F64" i="1" s="1"/>
  <c r="E61" i="1"/>
  <c r="E67" i="1" s="1"/>
  <c r="D61" i="1"/>
  <c r="D64" i="1" s="1"/>
  <c r="I58" i="1"/>
  <c r="G58" i="1"/>
  <c r="O46" i="1"/>
  <c r="J43" i="1"/>
  <c r="E40" i="1"/>
  <c r="D40" i="1"/>
  <c r="E39" i="1"/>
  <c r="F39" i="1" s="1"/>
  <c r="G39" i="1" s="1"/>
  <c r="H39" i="1" s="1"/>
  <c r="I39" i="1" s="1"/>
  <c r="J39" i="1" s="1"/>
  <c r="F38" i="1"/>
  <c r="G38" i="1" s="1"/>
  <c r="H38" i="1" s="1"/>
  <c r="I38" i="1" s="1"/>
  <c r="J38" i="1" s="1"/>
  <c r="E38" i="1"/>
  <c r="F37" i="1"/>
  <c r="E37" i="1"/>
  <c r="I35" i="1"/>
  <c r="H35" i="1"/>
  <c r="G35" i="1"/>
  <c r="F35" i="1"/>
  <c r="E35" i="1"/>
  <c r="D35" i="1"/>
  <c r="O30" i="1"/>
  <c r="P30" i="1" s="1"/>
  <c r="I28" i="1"/>
  <c r="H28" i="1"/>
  <c r="G28" i="1"/>
  <c r="F28" i="1"/>
  <c r="E28" i="1"/>
  <c r="D28" i="1"/>
  <c r="E24" i="1"/>
  <c r="D23" i="1"/>
  <c r="P22" i="1"/>
  <c r="O22" i="1"/>
  <c r="O32" i="1" s="1"/>
  <c r="P32" i="1" s="1"/>
  <c r="I22" i="1"/>
  <c r="H22" i="1"/>
  <c r="G22" i="1"/>
  <c r="F22" i="1"/>
  <c r="E22" i="1"/>
  <c r="D22" i="1"/>
  <c r="I21" i="1"/>
  <c r="H21" i="1"/>
  <c r="G21" i="1"/>
  <c r="F21" i="1"/>
  <c r="E21" i="1"/>
  <c r="D21" i="1"/>
  <c r="O20" i="1"/>
  <c r="P20" i="1" s="1"/>
  <c r="I20" i="1"/>
  <c r="H20" i="1"/>
  <c r="G20" i="1"/>
  <c r="F20" i="1"/>
  <c r="E20" i="1"/>
  <c r="D20" i="1"/>
  <c r="I17" i="1"/>
  <c r="I86" i="1" s="1"/>
  <c r="H17" i="1"/>
  <c r="H58" i="1" s="1"/>
  <c r="G17" i="1"/>
  <c r="G86" i="1" s="1"/>
  <c r="F17" i="1"/>
  <c r="F58" i="1" s="1"/>
  <c r="E17" i="1"/>
  <c r="E58" i="1" s="1"/>
  <c r="D17" i="1"/>
  <c r="D58" i="1" s="1"/>
  <c r="J13" i="1"/>
  <c r="J67" i="1" s="1"/>
  <c r="O11" i="1"/>
  <c r="O10" i="1"/>
  <c r="I10" i="1"/>
  <c r="H10" i="1"/>
  <c r="G10" i="1"/>
  <c r="F10" i="1"/>
  <c r="E10" i="1"/>
  <c r="D10" i="1"/>
  <c r="O9" i="1"/>
  <c r="O38" i="1" s="1"/>
  <c r="I8" i="1"/>
  <c r="H8" i="1"/>
  <c r="G8" i="1"/>
  <c r="F8" i="1"/>
  <c r="E8" i="1"/>
  <c r="J7" i="1"/>
  <c r="J15" i="1" s="1"/>
  <c r="J69" i="1" s="1"/>
  <c r="J75" i="1" s="1"/>
  <c r="I6" i="1"/>
  <c r="H6" i="1"/>
  <c r="G6" i="1"/>
  <c r="F6" i="1"/>
  <c r="E6" i="1"/>
  <c r="J5" i="1"/>
  <c r="J14" i="1" s="1"/>
  <c r="J68" i="1" s="1"/>
  <c r="I4" i="1"/>
  <c r="H4" i="1"/>
  <c r="G4" i="1"/>
  <c r="F4" i="1"/>
  <c r="E4" i="1"/>
  <c r="J3" i="1"/>
  <c r="J81" i="1" l="1"/>
  <c r="O28" i="1"/>
  <c r="O18" i="1"/>
  <c r="J70" i="1"/>
  <c r="H74" i="1"/>
  <c r="H80" i="1" s="1"/>
  <c r="G73" i="1"/>
  <c r="G70" i="1"/>
  <c r="J74" i="1"/>
  <c r="I74" i="1"/>
  <c r="I80" i="1" s="1"/>
  <c r="F75" i="1"/>
  <c r="F81" i="1" s="1"/>
  <c r="G75" i="1"/>
  <c r="G81" i="1" s="1"/>
  <c r="I75" i="1"/>
  <c r="I81" i="1" s="1"/>
  <c r="E73" i="1"/>
  <c r="E70" i="1"/>
  <c r="H75" i="1"/>
  <c r="H81" i="1" s="1"/>
  <c r="I70" i="1"/>
  <c r="G74" i="1"/>
  <c r="G80" i="1" s="1"/>
  <c r="F40" i="1"/>
  <c r="D24" i="1"/>
  <c r="G64" i="1"/>
  <c r="E68" i="1"/>
  <c r="E74" i="1" s="1"/>
  <c r="E80" i="1" s="1"/>
  <c r="J17" i="1"/>
  <c r="F24" i="1"/>
  <c r="G37" i="1"/>
  <c r="I64" i="1"/>
  <c r="E89" i="1"/>
  <c r="G24" i="1"/>
  <c r="F89" i="1"/>
  <c r="H24" i="1"/>
  <c r="D67" i="1"/>
  <c r="D86" i="1"/>
  <c r="G89" i="1"/>
  <c r="D89" i="1"/>
  <c r="I24" i="1"/>
  <c r="J28" i="1"/>
  <c r="E86" i="1"/>
  <c r="H89" i="1"/>
  <c r="O37" i="1"/>
  <c r="O39" i="1" s="1"/>
  <c r="F67" i="1"/>
  <c r="F86" i="1"/>
  <c r="I89" i="1"/>
  <c r="O45" i="1"/>
  <c r="O27" i="1" l="1"/>
  <c r="O17" i="1"/>
  <c r="J80" i="1"/>
  <c r="E79" i="1"/>
  <c r="E82" i="1" s="1"/>
  <c r="E76" i="1"/>
  <c r="H37" i="1"/>
  <c r="G40" i="1"/>
  <c r="D73" i="1"/>
  <c r="D70" i="1"/>
  <c r="F73" i="1"/>
  <c r="F70" i="1"/>
  <c r="G76" i="1"/>
  <c r="G79" i="1"/>
  <c r="G82" i="1" s="1"/>
  <c r="J58" i="1"/>
  <c r="J86" i="1"/>
  <c r="J89" i="1"/>
  <c r="P28" i="1"/>
  <c r="P18" i="1"/>
  <c r="H40" i="1" l="1"/>
  <c r="I37" i="1"/>
  <c r="H73" i="1"/>
  <c r="D76" i="1"/>
  <c r="D79" i="1"/>
  <c r="D82" i="1" s="1"/>
  <c r="G88" i="1"/>
  <c r="G101" i="1"/>
  <c r="G91" i="1"/>
  <c r="G90" i="1"/>
  <c r="G100" i="1"/>
  <c r="G87" i="1"/>
  <c r="F76" i="1"/>
  <c r="F79" i="1"/>
  <c r="F82" i="1" s="1"/>
  <c r="E90" i="1"/>
  <c r="E100" i="1"/>
  <c r="E87" i="1"/>
  <c r="E88" i="1"/>
  <c r="E101" i="1"/>
  <c r="E91" i="1"/>
  <c r="P27" i="1"/>
  <c r="P17" i="1"/>
  <c r="F90" i="1" l="1"/>
  <c r="F87" i="1"/>
  <c r="F100" i="1"/>
  <c r="D87" i="1"/>
  <c r="D90" i="1"/>
  <c r="H76" i="1"/>
  <c r="H79" i="1"/>
  <c r="H82" i="1" s="1"/>
  <c r="D88" i="1"/>
  <c r="D91" i="1"/>
  <c r="J37" i="1"/>
  <c r="I40" i="1"/>
  <c r="I73" i="1"/>
  <c r="F88" i="1"/>
  <c r="F101" i="1"/>
  <c r="F91" i="1"/>
  <c r="I76" i="1" l="1"/>
  <c r="I79" i="1"/>
  <c r="I82" i="1" s="1"/>
  <c r="J40" i="1"/>
  <c r="J73" i="1"/>
  <c r="H101" i="1"/>
  <c r="H91" i="1"/>
  <c r="H88" i="1"/>
  <c r="H100" i="1"/>
  <c r="H87" i="1"/>
  <c r="H90" i="1"/>
  <c r="I100" i="1" l="1"/>
  <c r="I87" i="1"/>
  <c r="I90" i="1"/>
  <c r="O12" i="1"/>
  <c r="O40" i="1"/>
  <c r="J76" i="1"/>
  <c r="O26" i="1"/>
  <c r="O29" i="1" s="1"/>
  <c r="O31" i="1" s="1"/>
  <c r="O33" i="1" s="1"/>
  <c r="J79" i="1"/>
  <c r="O16" i="1"/>
  <c r="O19" i="1" s="1"/>
  <c r="O21" i="1" s="1"/>
  <c r="O23" i="1" s="1"/>
  <c r="I88" i="1"/>
  <c r="I101" i="1"/>
  <c r="I91" i="1"/>
  <c r="P12" i="1"/>
  <c r="P40" i="1"/>
  <c r="P16" i="1" l="1"/>
  <c r="P19" i="1" s="1"/>
  <c r="P21" i="1" s="1"/>
  <c r="P23" i="1" s="1"/>
  <c r="J82" i="1"/>
  <c r="P26" i="1"/>
  <c r="P29" i="1" s="1"/>
  <c r="P31" i="1" s="1"/>
  <c r="P33" i="1" s="1"/>
  <c r="J100" i="1"/>
  <c r="J87" i="1"/>
  <c r="J90" i="1"/>
  <c r="O13" i="1"/>
  <c r="O41" i="1"/>
  <c r="J101" i="1" l="1"/>
  <c r="J91" i="1"/>
  <c r="J88" i="1"/>
  <c r="P13" i="1"/>
  <c r="P41" i="1"/>
  <c r="J10" i="1"/>
  <c r="J24" i="1" s="1"/>
</calcChain>
</file>

<file path=xl/sharedStrings.xml><?xml version="1.0" encoding="utf-8"?>
<sst xmlns="http://schemas.openxmlformats.org/spreadsheetml/2006/main" count="141" uniqueCount="84">
  <si>
    <t>Revenue &amp; Growth</t>
  </si>
  <si>
    <t>2024E</t>
  </si>
  <si>
    <t>Sterigenics</t>
  </si>
  <si>
    <t>Growth</t>
  </si>
  <si>
    <t>Nordion</t>
  </si>
  <si>
    <t>Current Valuation</t>
  </si>
  <si>
    <t>Normalized EO</t>
  </si>
  <si>
    <t>Nelson Labs</t>
  </si>
  <si>
    <t>Shares Outstanding</t>
  </si>
  <si>
    <t>Current Price</t>
  </si>
  <si>
    <t>Medical Isotopes</t>
  </si>
  <si>
    <t>Market Cap</t>
  </si>
  <si>
    <t>Total</t>
  </si>
  <si>
    <t>Net Debt</t>
  </si>
  <si>
    <t>EV</t>
  </si>
  <si>
    <t>EBITDA</t>
  </si>
  <si>
    <t>EV/LTM EBIT</t>
  </si>
  <si>
    <t>EV/NTM EBIT</t>
  </si>
  <si>
    <t>Valuation - Lower Range</t>
  </si>
  <si>
    <t>Sterigenics at 20x EV/NTM EBIT</t>
  </si>
  <si>
    <t>Nordion at 20x EV/NTM EBIT</t>
  </si>
  <si>
    <t>Nelson Labs at 15x EV/NTM EBIT</t>
  </si>
  <si>
    <t>EBITDA Margin</t>
  </si>
  <si>
    <t>Total EV</t>
  </si>
  <si>
    <t>Less Net Debt</t>
  </si>
  <si>
    <t>Equity Value</t>
  </si>
  <si>
    <t>n/a</t>
  </si>
  <si>
    <t>Per Share Value</t>
  </si>
  <si>
    <t>Valuation - Upper Range</t>
  </si>
  <si>
    <t>Sterigenics at 25x EV/NTM EBIT</t>
  </si>
  <si>
    <t>Facility Count</t>
  </si>
  <si>
    <t>Nordion at 25x EV/NTM EBIT</t>
  </si>
  <si>
    <t>EBITDA/Facility</t>
  </si>
  <si>
    <t>Actual Capex</t>
  </si>
  <si>
    <t>Stress Test - Valuation Scenario</t>
  </si>
  <si>
    <t>Legal Settlement</t>
  </si>
  <si>
    <t>Estimated Maintenance Capex</t>
  </si>
  <si>
    <t>New Net Debt</t>
  </si>
  <si>
    <t>Current Market Cap</t>
  </si>
  <si>
    <t>New EV</t>
  </si>
  <si>
    <t>EBITDA to EBT Bridge</t>
  </si>
  <si>
    <t>Interest Expense</t>
  </si>
  <si>
    <t>Stress Test - Debt Metrics</t>
  </si>
  <si>
    <t>D&amp;A</t>
  </si>
  <si>
    <t>SBC</t>
  </si>
  <si>
    <t>FX</t>
  </si>
  <si>
    <t>Incremental Interest Expense</t>
  </si>
  <si>
    <t>Acq. charges</t>
  </si>
  <si>
    <t>Optimization expenses</t>
  </si>
  <si>
    <t>plant closure expenses</t>
  </si>
  <si>
    <t>impairment affiliate</t>
  </si>
  <si>
    <t>Gain on Sale</t>
  </si>
  <si>
    <t>loss on exting of debt</t>
  </si>
  <si>
    <t>lawyer fees for EO</t>
  </si>
  <si>
    <t>Illinois EO charges</t>
  </si>
  <si>
    <t>Gerogia EO charges</t>
  </si>
  <si>
    <t>ARO</t>
  </si>
  <si>
    <t>Covid 19 expenses</t>
  </si>
  <si>
    <t>unadjusted EBT</t>
  </si>
  <si>
    <t>Legit Costs to Deduct from EBITDA</t>
  </si>
  <si>
    <t>Sterigenics (65% allocated)</t>
  </si>
  <si>
    <t>Nordion (15% allocated)</t>
  </si>
  <si>
    <t>Nelson Labs (20% allocated)</t>
  </si>
  <si>
    <t>Deducting legit costs from EBITDA</t>
  </si>
  <si>
    <t>EBITDA less Maintenance Capex (normalized EBIT)</t>
  </si>
  <si>
    <t>EBITDA less Maintenance Capex (normalized EBIT) - add. EO expenses</t>
  </si>
  <si>
    <t>Debt Metrics</t>
  </si>
  <si>
    <t>Net Debt/EBITDA</t>
  </si>
  <si>
    <t>Net Debt/Normalized EBIT</t>
  </si>
  <si>
    <t>Net Debt/Normalized EBIT (add EO)</t>
  </si>
  <si>
    <t>EBITDA/Interest Expense</t>
  </si>
  <si>
    <t>Normalized EBIT/Interest Expense</t>
  </si>
  <si>
    <t>Normalized EBIT (add EO)/Interest Expense</t>
  </si>
  <si>
    <t>Invested Capital</t>
  </si>
  <si>
    <t>Equity</t>
  </si>
  <si>
    <t>Total Invested Capital</t>
  </si>
  <si>
    <t>Assets</t>
  </si>
  <si>
    <t>Return on Capital</t>
  </si>
  <si>
    <t>After Tax ROIC</t>
  </si>
  <si>
    <t>After Tax ROA</t>
  </si>
  <si>
    <t>Net Debt/NTM EBITDA</t>
  </si>
  <si>
    <t>Net Debt/NTM EBIT</t>
  </si>
  <si>
    <t>NTM EBITDA/Interest Expense</t>
  </si>
  <si>
    <t>NTM EBIT/Interest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</si>
</sst>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&quot;$&quot;#,##0"/>
    <numFmt numFmtId="168" formatCode="_(* #,##0.0_);_(* \(#,##0.0\);_(* &quot;-&quot;??_);_(@_)"/>
  </numFmts>
  <fonts count="12">
    <font>
      <sz val="11"/>
      <color theme="1"/>
      <name val="aptos narrow"/>
      <scheme val="minor"/>
    </font>
    <font>
      <sz val="11"/>
      <color theme="1"/>
      <name val="Aptos narrow"/>
    </font>
    <font>
      <sz val="11"/>
      <color theme="1"/>
      <name val="aptos narrow"/>
      <scheme val="minor"/>
    </font>
    <font>
      <b/>
      <sz val="11"/>
      <color theme="1"/>
      <name val="Aptos narrow"/>
    </font>
    <font>
      <b/>
      <i/>
      <sz val="11"/>
      <color rgb="FF0B769F"/>
      <name val="Aptos narrow"/>
    </font>
    <font>
      <sz val="11"/>
      <color rgb="FF0B769F"/>
      <name val="Aptos narrow"/>
    </font>
    <font>
      <i/>
      <sz val="10"/>
      <color theme="1"/>
      <name val="Aptos narrow"/>
    </font>
    <font>
      <sz val="10"/>
      <color theme="1"/>
      <name val="Aptos narrow"/>
    </font>
    <font>
      <i/>
      <sz val="10"/>
      <color rgb="FF0B769F"/>
      <name val="Aptos narrow"/>
    </font>
    <font>
      <sz val="11"/>
      <name val="aptos narrow"/>
    </font>
    <font>
      <b/>
      <i/>
      <sz val="9"/>
      <color theme="1"/>
      <name val="Aptos narrow"/>
    </font>
    <font>
      <i/>
      <sz val="9"/>
      <color theme="1"/>
      <name val="Aptos narrow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6" fontId="1" fillId="0" borderId="0" xfId="0" applyNumberFormat="1" applyFont="1"/>
    <xf numFmtId="6" fontId="5" fillId="0" borderId="0" xfId="0" applyNumberFormat="1" applyFont="1"/>
    <xf numFmtId="0" fontId="6" fillId="0" borderId="0" xfId="0" applyFont="1" applyAlignment="1">
      <alignment horizontal="right"/>
    </xf>
    <xf numFmtId="6" fontId="7" fillId="0" borderId="0" xfId="0" applyNumberFormat="1" applyFont="1"/>
    <xf numFmtId="164" fontId="6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165" fontId="1" fillId="0" borderId="4" xfId="0" applyNumberFormat="1" applyFont="1" applyBorder="1"/>
    <xf numFmtId="165" fontId="11" fillId="0" borderId="0" xfId="0" applyNumberFormat="1" applyFont="1"/>
    <xf numFmtId="166" fontId="1" fillId="0" borderId="4" xfId="0" applyNumberFormat="1" applyFont="1" applyBorder="1"/>
    <xf numFmtId="167" fontId="1" fillId="0" borderId="4" xfId="0" applyNumberFormat="1" applyFont="1" applyBorder="1"/>
    <xf numFmtId="0" fontId="5" fillId="0" borderId="0" xfId="0" applyFont="1"/>
    <xf numFmtId="168" fontId="1" fillId="0" borderId="4" xfId="0" applyNumberFormat="1" applyFont="1" applyBorder="1"/>
    <xf numFmtId="168" fontId="11" fillId="0" borderId="0" xfId="0" applyNumberFormat="1" applyFont="1"/>
    <xf numFmtId="0" fontId="1" fillId="0" borderId="5" xfId="0" applyFont="1" applyBorder="1" applyAlignment="1">
      <alignment horizontal="right"/>
    </xf>
    <xf numFmtId="168" fontId="1" fillId="0" borderId="6" xfId="0" applyNumberFormat="1" applyFont="1" applyBorder="1"/>
    <xf numFmtId="167" fontId="11" fillId="0" borderId="0" xfId="0" applyNumberFormat="1" applyFont="1"/>
    <xf numFmtId="10" fontId="1" fillId="0" borderId="0" xfId="0" applyNumberFormat="1" applyFont="1"/>
    <xf numFmtId="164" fontId="1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1" fillId="0" borderId="6" xfId="0" applyNumberFormat="1" applyFont="1" applyBorder="1"/>
    <xf numFmtId="166" fontId="11" fillId="0" borderId="0" xfId="0" applyNumberFormat="1" applyFont="1"/>
    <xf numFmtId="43" fontId="11" fillId="0" borderId="0" xfId="0" applyNumberFormat="1" applyFont="1"/>
    <xf numFmtId="167" fontId="5" fillId="0" borderId="0" xfId="0" applyNumberFormat="1" applyFont="1"/>
    <xf numFmtId="166" fontId="1" fillId="0" borderId="0" xfId="0" applyNumberFormat="1" applyFont="1"/>
    <xf numFmtId="43" fontId="1" fillId="0" borderId="4" xfId="0" applyNumberFormat="1" applyFont="1" applyBorder="1"/>
    <xf numFmtId="43" fontId="1" fillId="0" borderId="6" xfId="0" applyNumberFormat="1" applyFont="1" applyBorder="1"/>
    <xf numFmtId="167" fontId="1" fillId="0" borderId="0" xfId="0" applyNumberFormat="1" applyFont="1"/>
    <xf numFmtId="43" fontId="1" fillId="0" borderId="0" xfId="0" applyNumberFormat="1" applyFont="1"/>
    <xf numFmtId="43" fontId="5" fillId="0" borderId="0" xfId="0" applyNumberFormat="1" applyFont="1"/>
    <xf numFmtId="0" fontId="3" fillId="0" borderId="1" xfId="0" applyFont="1" applyBorder="1" applyAlignment="1">
      <alignment horizontal="center"/>
    </xf>
    <xf numFmtId="0" fontId="9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v>Sterigenics</c:v>
          </c:tx>
          <c:spPr>
            <a:solidFill>
              <a:srgbClr val="4EA72E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Sheet1!$D$2:$J$2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2024E</c:v>
                </c:pt>
              </c:strCache>
            </c:strRef>
          </c:cat>
          <c:val>
            <c:numRef>
              <c:f>Sheet1!$D$13:$J$13</c:f>
              <c:numCache>
                <c:formatCode>"$"#,##0_);[Red]\("$"#,##0\)</c:formatCode>
                <c:ptCount val="7"/>
                <c:pt idx="0">
                  <c:v>216490</c:v>
                </c:pt>
                <c:pt idx="1">
                  <c:v>244904</c:v>
                </c:pt>
                <c:pt idx="2">
                  <c:v>266639</c:v>
                </c:pt>
                <c:pt idx="3">
                  <c:v>310470</c:v>
                </c:pt>
                <c:pt idx="4">
                  <c:v>339144</c:v>
                </c:pt>
                <c:pt idx="5">
                  <c:v>362212</c:v>
                </c:pt>
                <c:pt idx="6">
                  <c:v>385401.00100000005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B23-4A9C-9E9E-2563EDBEBC3C}"/>
            </c:ext>
          </c:extLst>
        </c:ser>
        <c:ser>
          <c:idx val="1"/>
          <c:order val="1"/>
          <c:tx>
            <c:v>Nordion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Sheet1!$D$2:$J$2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2024E</c:v>
                </c:pt>
              </c:strCache>
            </c:strRef>
          </c:cat>
          <c:val>
            <c:numRef>
              <c:f>Sheet1!$D$14:$J$14</c:f>
              <c:numCache>
                <c:formatCode>"$"#,##0_);[Red]\("$"#,##0\)</c:formatCode>
                <c:ptCount val="7"/>
                <c:pt idx="0">
                  <c:v>60288</c:v>
                </c:pt>
                <c:pt idx="1">
                  <c:v>62196</c:v>
                </c:pt>
                <c:pt idx="2">
                  <c:v>66803</c:v>
                </c:pt>
                <c:pt idx="3">
                  <c:v>82673</c:v>
                </c:pt>
                <c:pt idx="4">
                  <c:v>89477</c:v>
                </c:pt>
                <c:pt idx="5">
                  <c:v>96679</c:v>
                </c:pt>
                <c:pt idx="6">
                  <c:v>101089.17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B23-4A9C-9E9E-2563EDBEBC3C}"/>
            </c:ext>
          </c:extLst>
        </c:ser>
        <c:ser>
          <c:idx val="2"/>
          <c:order val="2"/>
          <c:tx>
            <c:v>Nelson Labs</c:v>
          </c:tx>
          <c:spPr>
            <a:solidFill>
              <a:srgbClr val="196B2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Sheet1!$D$2:$J$2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2024E</c:v>
                </c:pt>
              </c:strCache>
            </c:strRef>
          </c:cat>
          <c:val>
            <c:numRef>
              <c:f>Sheet1!$D$15:$J$15</c:f>
              <c:numCache>
                <c:formatCode>"$"#,##0_);[Red]\("$"#,##0\)</c:formatCode>
                <c:ptCount val="7"/>
                <c:pt idx="0">
                  <c:v>58915</c:v>
                </c:pt>
                <c:pt idx="1">
                  <c:v>72832</c:v>
                </c:pt>
                <c:pt idx="2">
                  <c:v>86417</c:v>
                </c:pt>
                <c:pt idx="3">
                  <c:v>88086</c:v>
                </c:pt>
                <c:pt idx="4">
                  <c:v>77628</c:v>
                </c:pt>
                <c:pt idx="5">
                  <c:v>69139</c:v>
                </c:pt>
                <c:pt idx="6">
                  <c:v>77594.649999999994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B23-4A9C-9E9E-2563EDBE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8384515"/>
        <c:axId val="1655085486"/>
      </c:barChart>
      <c:lineChart>
        <c:grouping val="standard"/>
        <c:varyColors val="1"/>
        <c:ser>
          <c:idx val="3"/>
          <c:order val="3"/>
          <c:tx>
            <c:v>Sterigenics</c:v>
          </c:tx>
          <c:spPr>
            <a:ln w="28575" cmpd="sng"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strRef>
              <c:f>Sheet1!$D$2:$J$2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2024E</c:v>
                </c:pt>
              </c:strCache>
            </c:strRef>
          </c:cat>
          <c:val>
            <c:numRef>
              <c:f>Sheet1!$D$20:$J$20</c:f>
              <c:numCache>
                <c:formatCode>0.0%</c:formatCode>
                <c:ptCount val="7"/>
                <c:pt idx="0">
                  <c:v>0.49684095535568801</c:v>
                </c:pt>
                <c:pt idx="1">
                  <c:v>0.51918559786986862</c:v>
                </c:pt>
                <c:pt idx="2">
                  <c:v>0.53458988357429127</c:v>
                </c:pt>
                <c:pt idx="3">
                  <c:v>0.54294203337011593</c:v>
                </c:pt>
                <c:pt idx="4">
                  <c:v>0.5412050822952672</c:v>
                </c:pt>
                <c:pt idx="5">
                  <c:v>0.54294065624391052</c:v>
                </c:pt>
                <c:pt idx="6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23-4A9C-9E9E-2563EDBEBC3C}"/>
            </c:ext>
          </c:extLst>
        </c:ser>
        <c:ser>
          <c:idx val="4"/>
          <c:order val="4"/>
          <c:tx>
            <c:v>Nordion</c:v>
          </c:tx>
          <c:spPr>
            <a:ln w="28575" cmpd="sng">
              <a:solidFill>
                <a:srgbClr val="FFC000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Sheet1!$D$2:$J$2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2024E</c:v>
                </c:pt>
              </c:strCache>
            </c:strRef>
          </c:cat>
          <c:val>
            <c:numRef>
              <c:f>Sheet1!$D$21:$J$21</c:f>
              <c:numCache>
                <c:formatCode>0.0%</c:formatCode>
                <c:ptCount val="7"/>
                <c:pt idx="0">
                  <c:v>0.50735089919127485</c:v>
                </c:pt>
                <c:pt idx="1">
                  <c:v>0.53541083803210954</c:v>
                </c:pt>
                <c:pt idx="2">
                  <c:v>0.58218658765087805</c:v>
                </c:pt>
                <c:pt idx="3">
                  <c:v>0.58839061399076198</c:v>
                </c:pt>
                <c:pt idx="4">
                  <c:v>0.58238468097293006</c:v>
                </c:pt>
                <c:pt idx="5">
                  <c:v>0.60251528427822687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23-4A9C-9E9E-2563EDBEBC3C}"/>
            </c:ext>
          </c:extLst>
        </c:ser>
        <c:ser>
          <c:idx val="5"/>
          <c:order val="5"/>
          <c:tx>
            <c:v>Nelson Labs</c:v>
          </c:tx>
          <c:spPr>
            <a:ln w="28575" cmpd="sng">
              <a:solidFill>
                <a:srgbClr val="4EA72E"/>
              </a:solidFill>
              <a:prstDash val="dash"/>
            </a:ln>
          </c:spPr>
          <c:marker>
            <c:symbol val="none"/>
          </c:marker>
          <c:cat>
            <c:strRef>
              <c:f>Sheet1!$D$2:$J$2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2024E</c:v>
                </c:pt>
              </c:strCache>
            </c:strRef>
          </c:cat>
          <c:val>
            <c:numRef>
              <c:f>Sheet1!$D$22:$J$22</c:f>
              <c:numCache>
                <c:formatCode>0.0%</c:formatCode>
                <c:ptCount val="7"/>
                <c:pt idx="0">
                  <c:v>0.35444629610689643</c:v>
                </c:pt>
                <c:pt idx="1">
                  <c:v>0.38241255106219874</c:v>
                </c:pt>
                <c:pt idx="2">
                  <c:v>0.42228792025019546</c:v>
                </c:pt>
                <c:pt idx="3">
                  <c:v>0.40195854742587001</c:v>
                </c:pt>
                <c:pt idx="4">
                  <c:v>0.34748122219138594</c:v>
                </c:pt>
                <c:pt idx="5">
                  <c:v>0.31185977383750041</c:v>
                </c:pt>
                <c:pt idx="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23-4A9C-9E9E-2563EDBE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384515"/>
        <c:axId val="1655085486"/>
      </c:lineChart>
      <c:catAx>
        <c:axId val="17483845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55085486"/>
        <c:crosses val="autoZero"/>
        <c:auto val="1"/>
        <c:lblAlgn val="ctr"/>
        <c:lblOffset val="100"/>
        <c:noMultiLvlLbl val="1"/>
      </c:catAx>
      <c:valAx>
        <c:axId val="16550854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EBITDA</a:t>
                </a:r>
              </a:p>
            </c:rich>
          </c:tx>
          <c:overlay val="0"/>
        </c:title>
        <c:numFmt formatCode="&quot;$&quot;#,##0_);[Red]\(&quot;$&quot;#,##0\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4838451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438150</xdr:colOff>
      <xdr:row>5</xdr:row>
      <xdr:rowOff>38100</xdr:rowOff>
    </xdr:from>
    <xdr:ext cx="4953000" cy="2876550"/>
    <xdr:graphicFrame macro="">
      <xdr:nvGraphicFramePr>
        <xdr:cNvPr id="1172345755" name="Chart 1">
          <a:extLst>
            <a:ext uri="{FF2B5EF4-FFF2-40B4-BE49-F238E27FC236}">
              <a16:creationId xmlns:a16="http://schemas.microsoft.com/office/drawing/2014/main" id="{00000000-0008-0000-0000-00009B93E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19</xdr:col>
      <xdr:colOff>0</xdr:colOff>
      <xdr:row>22</xdr:row>
      <xdr:rowOff>0</xdr:rowOff>
    </xdr:from>
    <xdr:ext cx="4905375" cy="2657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showGridLines="0" tabSelected="1" workbookViewId="0">
      <selection activeCell="P51" sqref="P51"/>
    </sheetView>
  </sheetViews>
  <sheetFormatPr defaultColWidth="12.59765625" defaultRowHeight="15" customHeight="1"/>
  <cols>
    <col min="1" max="1" width="10.59765625" customWidth="1"/>
    <col min="2" max="2" width="34" customWidth="1"/>
    <col min="3" max="3" width="29.265625" customWidth="1"/>
    <col min="4" max="4" width="10.73046875" customWidth="1"/>
    <col min="5" max="10" width="11" customWidth="1"/>
    <col min="11" max="13" width="8.59765625" customWidth="1"/>
    <col min="14" max="14" width="29.265625" customWidth="1"/>
    <col min="15" max="15" width="10.1328125" customWidth="1"/>
    <col min="16" max="16" width="12" customWidth="1"/>
    <col min="17" max="27" width="8.59765625" customWidth="1"/>
  </cols>
  <sheetData>
    <row r="1" spans="1:16" ht="14.25">
      <c r="C1" s="1"/>
    </row>
    <row r="2" spans="1:16" ht="14.25">
      <c r="B2" s="2" t="s">
        <v>0</v>
      </c>
      <c r="C2" s="1"/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4" t="s">
        <v>1</v>
      </c>
    </row>
    <row r="3" spans="1:16" ht="14.25">
      <c r="A3" s="5"/>
      <c r="C3" s="1" t="s">
        <v>2</v>
      </c>
      <c r="D3" s="5">
        <v>435733</v>
      </c>
      <c r="E3" s="5">
        <v>471708</v>
      </c>
      <c r="F3" s="5">
        <v>498773</v>
      </c>
      <c r="G3" s="5">
        <v>571829</v>
      </c>
      <c r="H3" s="5">
        <v>626646</v>
      </c>
      <c r="I3" s="5">
        <v>667130</v>
      </c>
      <c r="J3" s="6">
        <f>I3*(1+J4)</f>
        <v>707157.8</v>
      </c>
    </row>
    <row r="4" spans="1:16" ht="14.25">
      <c r="A4" s="5"/>
      <c r="C4" s="7" t="s">
        <v>3</v>
      </c>
      <c r="D4" s="8"/>
      <c r="E4" s="9">
        <f t="shared" ref="E4:I4" si="0">E3/D3-1</f>
        <v>8.2562027663729776E-2</v>
      </c>
      <c r="F4" s="9">
        <f t="shared" si="0"/>
        <v>5.7376597386518791E-2</v>
      </c>
      <c r="G4" s="9">
        <f t="shared" si="0"/>
        <v>0.14647144091600794</v>
      </c>
      <c r="H4" s="9">
        <f t="shared" si="0"/>
        <v>9.5862574301058601E-2</v>
      </c>
      <c r="I4" s="9">
        <f t="shared" si="0"/>
        <v>6.4604258225537281E-2</v>
      </c>
      <c r="J4" s="10">
        <v>0.06</v>
      </c>
    </row>
    <row r="5" spans="1:16" ht="14.25">
      <c r="A5" s="5"/>
      <c r="C5" s="1" t="s">
        <v>4</v>
      </c>
      <c r="D5" s="5">
        <v>118829</v>
      </c>
      <c r="E5" s="5">
        <v>116165</v>
      </c>
      <c r="F5" s="5">
        <v>114745</v>
      </c>
      <c r="G5" s="5">
        <v>140507</v>
      </c>
      <c r="H5" s="5">
        <v>153639</v>
      </c>
      <c r="I5" s="5">
        <v>160459</v>
      </c>
      <c r="J5" s="6">
        <f>I5*(1+J6)</f>
        <v>168481.95</v>
      </c>
    </row>
    <row r="6" spans="1:16" ht="14.25">
      <c r="A6" s="5"/>
      <c r="C6" s="7" t="s">
        <v>3</v>
      </c>
      <c r="D6" s="8"/>
      <c r="E6" s="9">
        <f t="shared" ref="E6:I6" si="1">E5/D5-1</f>
        <v>-2.2418769828913776E-2</v>
      </c>
      <c r="F6" s="9">
        <f t="shared" si="1"/>
        <v>-1.2223991735892947E-2</v>
      </c>
      <c r="G6" s="9">
        <f t="shared" si="1"/>
        <v>0.22451522942176139</v>
      </c>
      <c r="H6" s="9">
        <f t="shared" si="1"/>
        <v>9.3461535724198797E-2</v>
      </c>
      <c r="I6" s="9">
        <f t="shared" si="1"/>
        <v>4.4389770826417818E-2</v>
      </c>
      <c r="J6" s="10">
        <v>0.05</v>
      </c>
      <c r="N6" s="38" t="s">
        <v>5</v>
      </c>
      <c r="O6" s="39"/>
      <c r="P6" s="11" t="s">
        <v>6</v>
      </c>
    </row>
    <row r="7" spans="1:16" ht="14.25">
      <c r="A7" s="5"/>
      <c r="C7" s="1" t="s">
        <v>7</v>
      </c>
      <c r="D7" s="5">
        <v>166217</v>
      </c>
      <c r="E7" s="5">
        <v>190454</v>
      </c>
      <c r="F7" s="5">
        <v>204640</v>
      </c>
      <c r="G7" s="5">
        <v>219142</v>
      </c>
      <c r="H7" s="5">
        <v>223402</v>
      </c>
      <c r="I7" s="5">
        <v>221699</v>
      </c>
      <c r="J7" s="6">
        <f>I7*(1+J8)</f>
        <v>221699</v>
      </c>
      <c r="N7" s="12" t="s">
        <v>8</v>
      </c>
      <c r="O7" s="13">
        <v>283222</v>
      </c>
      <c r="P7" s="14"/>
    </row>
    <row r="8" spans="1:16" ht="14.25">
      <c r="A8" s="5"/>
      <c r="C8" s="7" t="s">
        <v>3</v>
      </c>
      <c r="D8" s="8"/>
      <c r="E8" s="9">
        <f t="shared" ref="E8:I8" si="2">E7/D7-1</f>
        <v>0.14581540997611553</v>
      </c>
      <c r="F8" s="9">
        <f t="shared" si="2"/>
        <v>7.4485177523181401E-2</v>
      </c>
      <c r="G8" s="9">
        <f t="shared" si="2"/>
        <v>7.0865910867865534E-2</v>
      </c>
      <c r="H8" s="9">
        <f t="shared" si="2"/>
        <v>1.9439450219492338E-2</v>
      </c>
      <c r="I8" s="9">
        <f t="shared" si="2"/>
        <v>-7.6230293372485658E-3</v>
      </c>
      <c r="J8" s="10">
        <v>0</v>
      </c>
      <c r="N8" s="12" t="s">
        <v>9</v>
      </c>
      <c r="O8" s="15">
        <v>11.4</v>
      </c>
    </row>
    <row r="9" spans="1:16" ht="14.25">
      <c r="A9" s="5"/>
      <c r="C9" s="1" t="s">
        <v>10</v>
      </c>
      <c r="D9" s="5">
        <v>25370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v>0</v>
      </c>
      <c r="N9" s="12" t="s">
        <v>11</v>
      </c>
      <c r="O9" s="16">
        <f>O7*O8</f>
        <v>3228730.8000000003</v>
      </c>
    </row>
    <row r="10" spans="1:16" ht="14.25">
      <c r="C10" s="1" t="s">
        <v>12</v>
      </c>
      <c r="D10" s="5">
        <f t="shared" ref="D10:J10" si="3">SUM(D3,D5,D7,D9)</f>
        <v>746149</v>
      </c>
      <c r="E10" s="5">
        <f t="shared" si="3"/>
        <v>778327</v>
      </c>
      <c r="F10" s="5">
        <f t="shared" si="3"/>
        <v>818158</v>
      </c>
      <c r="G10" s="5">
        <f t="shared" si="3"/>
        <v>931478</v>
      </c>
      <c r="H10" s="5">
        <f t="shared" si="3"/>
        <v>1003687</v>
      </c>
      <c r="I10" s="5">
        <f t="shared" si="3"/>
        <v>1049288</v>
      </c>
      <c r="J10" s="6">
        <f t="shared" si="3"/>
        <v>1097338.75</v>
      </c>
      <c r="N10" s="12" t="s">
        <v>13</v>
      </c>
      <c r="O10" s="16">
        <f>I85</f>
        <v>2095911</v>
      </c>
    </row>
    <row r="11" spans="1:16" ht="14.25">
      <c r="C11" s="1"/>
      <c r="J11" s="17"/>
      <c r="N11" s="12" t="s">
        <v>14</v>
      </c>
      <c r="O11" s="16">
        <f>SUM(O9:O10)</f>
        <v>5324641.8000000007</v>
      </c>
    </row>
    <row r="12" spans="1:16" ht="14.25">
      <c r="A12" s="5"/>
      <c r="B12" s="2" t="s">
        <v>15</v>
      </c>
      <c r="C12" s="1"/>
      <c r="D12" s="3">
        <v>2018</v>
      </c>
      <c r="E12" s="3">
        <v>2019</v>
      </c>
      <c r="F12" s="3">
        <v>2020</v>
      </c>
      <c r="G12" s="3">
        <v>2021</v>
      </c>
      <c r="H12" s="3">
        <v>2022</v>
      </c>
      <c r="I12" s="3">
        <v>2023</v>
      </c>
      <c r="J12" s="17"/>
      <c r="N12" s="12" t="s">
        <v>16</v>
      </c>
      <c r="O12" s="18">
        <f>O11/I76</f>
        <v>15.865288250212584</v>
      </c>
      <c r="P12" s="19">
        <f>O11/I82</f>
        <v>13.058984174649318</v>
      </c>
    </row>
    <row r="13" spans="1:16" ht="14.25">
      <c r="A13" s="5"/>
      <c r="C13" s="1" t="s">
        <v>2</v>
      </c>
      <c r="D13" s="5">
        <v>216490</v>
      </c>
      <c r="E13" s="5">
        <v>244904</v>
      </c>
      <c r="F13" s="5">
        <v>266639</v>
      </c>
      <c r="G13" s="5">
        <v>310470</v>
      </c>
      <c r="H13" s="5">
        <v>339144</v>
      </c>
      <c r="I13" s="5">
        <v>362212</v>
      </c>
      <c r="J13" s="6">
        <f>J3*J20</f>
        <v>385401.00100000005</v>
      </c>
      <c r="N13" s="20" t="s">
        <v>17</v>
      </c>
      <c r="O13" s="21">
        <f>O11/J76</f>
        <v>14.695194257823717</v>
      </c>
      <c r="P13" s="19">
        <f>O11/J82</f>
        <v>12.175090625869995</v>
      </c>
    </row>
    <row r="14" spans="1:16" ht="14.25">
      <c r="A14" s="5"/>
      <c r="C14" s="1" t="s">
        <v>4</v>
      </c>
      <c r="D14" s="5">
        <v>60288</v>
      </c>
      <c r="E14" s="5">
        <v>62196</v>
      </c>
      <c r="F14" s="5">
        <v>66803</v>
      </c>
      <c r="G14" s="5">
        <v>82673</v>
      </c>
      <c r="H14" s="5">
        <v>89477</v>
      </c>
      <c r="I14" s="5">
        <v>96679</v>
      </c>
      <c r="J14" s="6">
        <f>J5*J21</f>
        <v>101089.17</v>
      </c>
      <c r="N14" s="1"/>
    </row>
    <row r="15" spans="1:16" ht="14.25">
      <c r="A15" s="5"/>
      <c r="C15" s="1" t="s">
        <v>7</v>
      </c>
      <c r="D15" s="5">
        <v>58915</v>
      </c>
      <c r="E15" s="5">
        <v>72832</v>
      </c>
      <c r="F15" s="5">
        <v>86417</v>
      </c>
      <c r="G15" s="5">
        <v>88086</v>
      </c>
      <c r="H15" s="5">
        <v>77628</v>
      </c>
      <c r="I15" s="5">
        <v>69139</v>
      </c>
      <c r="J15" s="6">
        <f>J7*J22</f>
        <v>77594.649999999994</v>
      </c>
      <c r="N15" s="38" t="s">
        <v>18</v>
      </c>
      <c r="O15" s="39"/>
      <c r="P15" s="11" t="s">
        <v>6</v>
      </c>
    </row>
    <row r="16" spans="1:16" ht="14.25">
      <c r="A16" s="5"/>
      <c r="C16" s="1" t="s">
        <v>10</v>
      </c>
      <c r="D16" s="5">
        <v>4944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N16" s="12" t="s">
        <v>19</v>
      </c>
      <c r="O16" s="16">
        <f t="shared" ref="O16:O17" si="4">J73*20</f>
        <v>4282924.3793750005</v>
      </c>
      <c r="P16" s="22">
        <f t="shared" ref="P16:P17" si="5">20*J79</f>
        <v>5782924.3793750005</v>
      </c>
    </row>
    <row r="17" spans="1:16" ht="14.25">
      <c r="C17" s="1" t="s">
        <v>12</v>
      </c>
      <c r="D17" s="5">
        <f t="shared" ref="D17:J17" si="6">SUM(D13:D16)</f>
        <v>340637</v>
      </c>
      <c r="E17" s="5">
        <f t="shared" si="6"/>
        <v>379932</v>
      </c>
      <c r="F17" s="5">
        <f t="shared" si="6"/>
        <v>419859</v>
      </c>
      <c r="G17" s="5">
        <f t="shared" si="6"/>
        <v>481229</v>
      </c>
      <c r="H17" s="5">
        <f t="shared" si="6"/>
        <v>506249</v>
      </c>
      <c r="I17" s="5">
        <f t="shared" si="6"/>
        <v>528030</v>
      </c>
      <c r="J17" s="6">
        <f t="shared" si="6"/>
        <v>564084.821</v>
      </c>
      <c r="N17" s="12" t="s">
        <v>20</v>
      </c>
      <c r="O17" s="16">
        <f t="shared" si="4"/>
        <v>1779575.7487499998</v>
      </c>
      <c r="P17" s="22">
        <f t="shared" si="5"/>
        <v>1779575.7487499998</v>
      </c>
    </row>
    <row r="18" spans="1:16" ht="14.25">
      <c r="C18" s="1"/>
      <c r="J18" s="17"/>
      <c r="N18" s="12" t="s">
        <v>21</v>
      </c>
      <c r="O18" s="16">
        <f>J75*15</f>
        <v>888209.70773437491</v>
      </c>
      <c r="P18" s="22">
        <f>15*J81</f>
        <v>888209.70773437491</v>
      </c>
    </row>
    <row r="19" spans="1:16" ht="14.25">
      <c r="A19" s="23"/>
      <c r="B19" s="2" t="s">
        <v>22</v>
      </c>
      <c r="C19" s="1"/>
      <c r="J19" s="17"/>
      <c r="N19" s="12" t="s">
        <v>23</v>
      </c>
      <c r="O19" s="16">
        <f t="shared" ref="O19:P19" si="7">SUM(O16:O18)</f>
        <v>6950709.835859376</v>
      </c>
      <c r="P19" s="22">
        <f t="shared" si="7"/>
        <v>8450709.8358593751</v>
      </c>
    </row>
    <row r="20" spans="1:16" ht="14.25">
      <c r="A20" s="23"/>
      <c r="C20" s="1" t="s">
        <v>2</v>
      </c>
      <c r="D20" s="24">
        <f t="shared" ref="D20:I20" si="8">D13/D3</f>
        <v>0.49684095535568801</v>
      </c>
      <c r="E20" s="24">
        <f t="shared" si="8"/>
        <v>0.51918559786986862</v>
      </c>
      <c r="F20" s="24">
        <f t="shared" si="8"/>
        <v>0.53458988357429127</v>
      </c>
      <c r="G20" s="24">
        <f t="shared" si="8"/>
        <v>0.54294203337011593</v>
      </c>
      <c r="H20" s="24">
        <f t="shared" si="8"/>
        <v>0.5412050822952672</v>
      </c>
      <c r="I20" s="24">
        <f t="shared" si="8"/>
        <v>0.54294065624391052</v>
      </c>
      <c r="J20" s="25">
        <v>0.54500000000000004</v>
      </c>
      <c r="N20" s="12" t="s">
        <v>24</v>
      </c>
      <c r="O20" s="16">
        <f>O10</f>
        <v>2095911</v>
      </c>
      <c r="P20" s="22">
        <f>O20</f>
        <v>2095911</v>
      </c>
    </row>
    <row r="21" spans="1:16" ht="15.75" customHeight="1">
      <c r="A21" s="23"/>
      <c r="C21" s="1" t="s">
        <v>4</v>
      </c>
      <c r="D21" s="24">
        <f t="shared" ref="D21:I21" si="9">D14/D5</f>
        <v>0.50735089919127485</v>
      </c>
      <c r="E21" s="24">
        <f t="shared" si="9"/>
        <v>0.53541083803210954</v>
      </c>
      <c r="F21" s="24">
        <f t="shared" si="9"/>
        <v>0.58218658765087805</v>
      </c>
      <c r="G21" s="24">
        <f t="shared" si="9"/>
        <v>0.58839061399076198</v>
      </c>
      <c r="H21" s="24">
        <f t="shared" si="9"/>
        <v>0.58238468097293006</v>
      </c>
      <c r="I21" s="24">
        <f t="shared" si="9"/>
        <v>0.60251528427822687</v>
      </c>
      <c r="J21" s="25">
        <v>0.6</v>
      </c>
      <c r="N21" s="12" t="s">
        <v>25</v>
      </c>
      <c r="O21" s="16">
        <f t="shared" ref="O21:P21" si="10">O19-O20</f>
        <v>4854798.835859376</v>
      </c>
      <c r="P21" s="22">
        <f t="shared" si="10"/>
        <v>6354798.8358593751</v>
      </c>
    </row>
    <row r="22" spans="1:16" ht="15.75" customHeight="1">
      <c r="A22" s="23"/>
      <c r="C22" s="1" t="s">
        <v>7</v>
      </c>
      <c r="D22" s="24">
        <f t="shared" ref="D22:I22" si="11">D15/D7</f>
        <v>0.35444629610689643</v>
      </c>
      <c r="E22" s="24">
        <f t="shared" si="11"/>
        <v>0.38241255106219874</v>
      </c>
      <c r="F22" s="24">
        <f t="shared" si="11"/>
        <v>0.42228792025019546</v>
      </c>
      <c r="G22" s="24">
        <f t="shared" si="11"/>
        <v>0.40195854742587001</v>
      </c>
      <c r="H22" s="24">
        <f t="shared" si="11"/>
        <v>0.34748122219138594</v>
      </c>
      <c r="I22" s="24">
        <f t="shared" si="11"/>
        <v>0.31185977383750041</v>
      </c>
      <c r="J22" s="25">
        <v>0.35</v>
      </c>
      <c r="N22" s="12" t="s">
        <v>8</v>
      </c>
      <c r="O22" s="13">
        <f>O7</f>
        <v>283222</v>
      </c>
      <c r="P22" s="14">
        <f>O22</f>
        <v>283222</v>
      </c>
    </row>
    <row r="23" spans="1:16" ht="15.75" customHeight="1">
      <c r="A23" s="23"/>
      <c r="C23" s="1" t="s">
        <v>10</v>
      </c>
      <c r="D23" s="24">
        <f t="shared" ref="D23:D24" si="12">D16/D9</f>
        <v>0.19487583760346866</v>
      </c>
      <c r="E23" s="26" t="s">
        <v>26</v>
      </c>
      <c r="F23" s="26" t="s">
        <v>26</v>
      </c>
      <c r="G23" s="26" t="s">
        <v>26</v>
      </c>
      <c r="H23" s="26" t="s">
        <v>26</v>
      </c>
      <c r="I23" s="26" t="s">
        <v>26</v>
      </c>
      <c r="J23" s="27" t="s">
        <v>26</v>
      </c>
      <c r="N23" s="20" t="s">
        <v>27</v>
      </c>
      <c r="O23" s="28">
        <f t="shared" ref="O23:P23" si="13">O21/O22</f>
        <v>17.141319656874735</v>
      </c>
      <c r="P23" s="29">
        <f t="shared" si="13"/>
        <v>22.437518398497911</v>
      </c>
    </row>
    <row r="24" spans="1:16" ht="15.75" customHeight="1">
      <c r="C24" s="1" t="s">
        <v>12</v>
      </c>
      <c r="D24" s="24">
        <f t="shared" si="12"/>
        <v>0.45652677950382564</v>
      </c>
      <c r="E24" s="24">
        <f t="shared" ref="E24:J24" si="14">E17/E10</f>
        <v>0.48813930391724814</v>
      </c>
      <c r="F24" s="24">
        <f t="shared" si="14"/>
        <v>0.51317593912178328</v>
      </c>
      <c r="G24" s="24">
        <f t="shared" si="14"/>
        <v>0.51662948561318678</v>
      </c>
      <c r="H24" s="24">
        <f t="shared" si="14"/>
        <v>0.50438931658973363</v>
      </c>
      <c r="I24" s="24">
        <f t="shared" si="14"/>
        <v>0.50322695008424756</v>
      </c>
      <c r="J24" s="25">
        <f t="shared" si="14"/>
        <v>0.51404802846887532</v>
      </c>
      <c r="N24" s="1"/>
    </row>
    <row r="25" spans="1:16" ht="15.75" customHeight="1">
      <c r="C25" s="1"/>
      <c r="J25" s="17"/>
      <c r="N25" s="38" t="s">
        <v>28</v>
      </c>
      <c r="O25" s="39"/>
      <c r="P25" s="11" t="s">
        <v>6</v>
      </c>
    </row>
    <row r="26" spans="1:16" ht="15.75" customHeight="1">
      <c r="B26" s="2" t="s">
        <v>2</v>
      </c>
      <c r="C26" s="1"/>
      <c r="J26" s="17"/>
      <c r="N26" s="12" t="s">
        <v>29</v>
      </c>
      <c r="O26" s="16">
        <f t="shared" ref="O26:O27" si="15">J73*25</f>
        <v>5353655.4742187513</v>
      </c>
      <c r="P26" s="22">
        <f t="shared" ref="P26:P27" si="16">25*J79</f>
        <v>7228655.4742187513</v>
      </c>
    </row>
    <row r="27" spans="1:16" ht="15.75" customHeight="1">
      <c r="C27" s="1" t="s">
        <v>30</v>
      </c>
      <c r="D27" s="2">
        <v>48</v>
      </c>
      <c r="E27" s="2">
        <v>48</v>
      </c>
      <c r="F27" s="2">
        <v>48</v>
      </c>
      <c r="G27" s="2">
        <v>48</v>
      </c>
      <c r="H27" s="2">
        <v>48</v>
      </c>
      <c r="I27" s="2">
        <v>48</v>
      </c>
      <c r="J27" s="17">
        <v>49</v>
      </c>
      <c r="N27" s="12" t="s">
        <v>31</v>
      </c>
      <c r="O27" s="16">
        <f t="shared" si="15"/>
        <v>2224469.6859375001</v>
      </c>
      <c r="P27" s="22">
        <f t="shared" si="16"/>
        <v>2224469.6859375001</v>
      </c>
    </row>
    <row r="28" spans="1:16" ht="15.75" customHeight="1">
      <c r="C28" s="1" t="s">
        <v>32</v>
      </c>
      <c r="D28" s="5">
        <f t="shared" ref="D28:J28" si="17">D13/D27</f>
        <v>4510.208333333333</v>
      </c>
      <c r="E28" s="5">
        <f t="shared" si="17"/>
        <v>5102.166666666667</v>
      </c>
      <c r="F28" s="5">
        <f t="shared" si="17"/>
        <v>5554.979166666667</v>
      </c>
      <c r="G28" s="5">
        <f t="shared" si="17"/>
        <v>6468.125</v>
      </c>
      <c r="H28" s="5">
        <f t="shared" si="17"/>
        <v>7065.5</v>
      </c>
      <c r="I28" s="5">
        <f t="shared" si="17"/>
        <v>7546.083333333333</v>
      </c>
      <c r="J28" s="6">
        <f t="shared" si="17"/>
        <v>7865.3265510204092</v>
      </c>
      <c r="N28" s="12" t="s">
        <v>21</v>
      </c>
      <c r="O28" s="16">
        <f>J75*15</f>
        <v>888209.70773437491</v>
      </c>
      <c r="P28" s="22">
        <f>15*J81</f>
        <v>888209.70773437491</v>
      </c>
    </row>
    <row r="29" spans="1:16" ht="15.75" customHeight="1">
      <c r="C29" s="1"/>
      <c r="J29" s="17"/>
      <c r="N29" s="12" t="s">
        <v>23</v>
      </c>
      <c r="O29" s="16">
        <f t="shared" ref="O29:P29" si="18">SUM(O26:O28)</f>
        <v>8466334.8678906262</v>
      </c>
      <c r="P29" s="22">
        <f t="shared" si="18"/>
        <v>10341334.867890626</v>
      </c>
    </row>
    <row r="30" spans="1:16" ht="15.75" customHeight="1">
      <c r="B30" s="2" t="s">
        <v>33</v>
      </c>
      <c r="C30" s="1"/>
      <c r="J30" s="17"/>
      <c r="N30" s="12" t="s">
        <v>24</v>
      </c>
      <c r="O30" s="16">
        <f>O20</f>
        <v>2095911</v>
      </c>
      <c r="P30" s="22">
        <f>O30</f>
        <v>2095911</v>
      </c>
    </row>
    <row r="31" spans="1:16" ht="15.75" customHeight="1">
      <c r="C31" s="1" t="s">
        <v>2</v>
      </c>
      <c r="D31" s="5">
        <v>61297</v>
      </c>
      <c r="E31" s="5">
        <v>51123</v>
      </c>
      <c r="F31" s="5">
        <v>42164</v>
      </c>
      <c r="G31" s="5">
        <v>73753</v>
      </c>
      <c r="H31" s="5">
        <v>144027</v>
      </c>
      <c r="I31" s="5">
        <v>163043</v>
      </c>
      <c r="J31" s="17"/>
      <c r="N31" s="12" t="s">
        <v>25</v>
      </c>
      <c r="O31" s="16">
        <f t="shared" ref="O31:P31" si="19">O29-O30</f>
        <v>6370423.8678906262</v>
      </c>
      <c r="P31" s="22">
        <f t="shared" si="19"/>
        <v>8245423.8678906262</v>
      </c>
    </row>
    <row r="32" spans="1:16" ht="15.75" customHeight="1">
      <c r="C32" s="1" t="s">
        <v>4</v>
      </c>
      <c r="D32" s="5">
        <v>4261</v>
      </c>
      <c r="E32" s="5">
        <v>2034</v>
      </c>
      <c r="F32" s="5">
        <v>4655</v>
      </c>
      <c r="G32" s="5">
        <v>21292</v>
      </c>
      <c r="H32" s="5">
        <v>26575</v>
      </c>
      <c r="I32" s="5">
        <v>38351</v>
      </c>
      <c r="J32" s="17"/>
      <c r="N32" s="12" t="s">
        <v>8</v>
      </c>
      <c r="O32" s="13">
        <f>O22</f>
        <v>283222</v>
      </c>
      <c r="P32" s="14">
        <f>O32</f>
        <v>283222</v>
      </c>
    </row>
    <row r="33" spans="2:16" ht="15.75" customHeight="1">
      <c r="C33" s="1" t="s">
        <v>7</v>
      </c>
      <c r="D33" s="5">
        <v>6661</v>
      </c>
      <c r="E33" s="5">
        <v>4100</v>
      </c>
      <c r="F33" s="5">
        <v>6688</v>
      </c>
      <c r="G33" s="5">
        <v>7117</v>
      </c>
      <c r="H33" s="5">
        <v>11776</v>
      </c>
      <c r="I33" s="5">
        <v>13581</v>
      </c>
      <c r="J33" s="17"/>
      <c r="N33" s="20" t="s">
        <v>27</v>
      </c>
      <c r="O33" s="28">
        <f t="shared" ref="O33:P33" si="20">O31/O32</f>
        <v>22.492687248485733</v>
      </c>
      <c r="P33" s="29">
        <f t="shared" si="20"/>
        <v>29.112935675514706</v>
      </c>
    </row>
    <row r="34" spans="2:16" ht="15.75" customHeight="1">
      <c r="C34" s="1" t="s">
        <v>10</v>
      </c>
      <c r="D34" s="5">
        <v>394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7"/>
      <c r="N34" s="1"/>
    </row>
    <row r="35" spans="2:16" ht="15.75" customHeight="1">
      <c r="C35" s="1" t="s">
        <v>12</v>
      </c>
      <c r="D35" s="5">
        <f t="shared" ref="D35:I35" si="21">SUM(D31:D34)</f>
        <v>72613</v>
      </c>
      <c r="E35" s="5">
        <f t="shared" si="21"/>
        <v>57257</v>
      </c>
      <c r="F35" s="5">
        <f t="shared" si="21"/>
        <v>53507</v>
      </c>
      <c r="G35" s="5">
        <f t="shared" si="21"/>
        <v>102162</v>
      </c>
      <c r="H35" s="5">
        <f t="shared" si="21"/>
        <v>182378</v>
      </c>
      <c r="I35" s="5">
        <f t="shared" si="21"/>
        <v>214975</v>
      </c>
      <c r="J35" s="17"/>
      <c r="N35" s="38" t="s">
        <v>34</v>
      </c>
      <c r="O35" s="39"/>
      <c r="P35" s="11" t="s">
        <v>6</v>
      </c>
    </row>
    <row r="36" spans="2:16" ht="15.75" customHeight="1">
      <c r="C36" s="1"/>
      <c r="D36" s="5"/>
      <c r="E36" s="5"/>
      <c r="F36" s="5"/>
      <c r="G36" s="5"/>
      <c r="H36" s="5"/>
      <c r="I36" s="5"/>
      <c r="J36" s="17"/>
      <c r="N36" s="12" t="s">
        <v>35</v>
      </c>
      <c r="O36" s="16">
        <v>750000</v>
      </c>
      <c r="P36" s="14"/>
    </row>
    <row r="37" spans="2:16" ht="15.75" customHeight="1">
      <c r="B37" s="2" t="s">
        <v>36</v>
      </c>
      <c r="C37" s="1" t="s">
        <v>2</v>
      </c>
      <c r="D37" s="5">
        <v>50000</v>
      </c>
      <c r="E37" s="5">
        <f t="shared" ref="E37:J37" si="22">D37*1.05</f>
        <v>52500</v>
      </c>
      <c r="F37" s="5">
        <f t="shared" si="22"/>
        <v>55125</v>
      </c>
      <c r="G37" s="5">
        <f t="shared" si="22"/>
        <v>57881.25</v>
      </c>
      <c r="H37" s="5">
        <f t="shared" si="22"/>
        <v>60775.3125</v>
      </c>
      <c r="I37" s="5">
        <f t="shared" si="22"/>
        <v>63814.078125</v>
      </c>
      <c r="J37" s="6">
        <f t="shared" si="22"/>
        <v>67004.782031249997</v>
      </c>
      <c r="N37" s="12" t="s">
        <v>37</v>
      </c>
      <c r="O37" s="16">
        <f>O36+O30</f>
        <v>2845911</v>
      </c>
    </row>
    <row r="38" spans="2:16" ht="15.75" customHeight="1">
      <c r="C38" s="1" t="s">
        <v>4</v>
      </c>
      <c r="D38" s="5">
        <v>4000</v>
      </c>
      <c r="E38" s="5">
        <f t="shared" ref="E38:J38" si="23">D38*1.05</f>
        <v>4200</v>
      </c>
      <c r="F38" s="5">
        <f t="shared" si="23"/>
        <v>4410</v>
      </c>
      <c r="G38" s="5">
        <f t="shared" si="23"/>
        <v>4630.5</v>
      </c>
      <c r="H38" s="5">
        <f t="shared" si="23"/>
        <v>4862.0250000000005</v>
      </c>
      <c r="I38" s="5">
        <f t="shared" si="23"/>
        <v>5105.1262500000012</v>
      </c>
      <c r="J38" s="6">
        <f t="shared" si="23"/>
        <v>5360.3825625000018</v>
      </c>
      <c r="N38" s="12" t="s">
        <v>38</v>
      </c>
      <c r="O38" s="16">
        <f>O9</f>
        <v>3228730.8000000003</v>
      </c>
    </row>
    <row r="39" spans="2:16" ht="15.75" customHeight="1">
      <c r="C39" s="1" t="s">
        <v>7</v>
      </c>
      <c r="D39" s="5">
        <v>7000</v>
      </c>
      <c r="E39" s="5">
        <f t="shared" ref="E39:J39" si="24">D39*1.05</f>
        <v>7350</v>
      </c>
      <c r="F39" s="5">
        <f t="shared" si="24"/>
        <v>7717.5</v>
      </c>
      <c r="G39" s="5">
        <f t="shared" si="24"/>
        <v>8103.375</v>
      </c>
      <c r="H39" s="5">
        <f t="shared" si="24"/>
        <v>8508.5437500000007</v>
      </c>
      <c r="I39" s="5">
        <f t="shared" si="24"/>
        <v>8933.970937500002</v>
      </c>
      <c r="J39" s="6">
        <f t="shared" si="24"/>
        <v>9380.6694843750029</v>
      </c>
      <c r="N39" s="12" t="s">
        <v>39</v>
      </c>
      <c r="O39" s="16">
        <f>SUM(O37:O38)</f>
        <v>6074641.8000000007</v>
      </c>
    </row>
    <row r="40" spans="2:16" ht="15.75" customHeight="1">
      <c r="C40" s="1" t="s">
        <v>12</v>
      </c>
      <c r="D40" s="5">
        <f t="shared" ref="D40:J40" si="25">SUM(D37:D39)</f>
        <v>61000</v>
      </c>
      <c r="E40" s="5">
        <f t="shared" si="25"/>
        <v>64050</v>
      </c>
      <c r="F40" s="5">
        <f t="shared" si="25"/>
        <v>67252.5</v>
      </c>
      <c r="G40" s="5">
        <f t="shared" si="25"/>
        <v>70615.125</v>
      </c>
      <c r="H40" s="5">
        <f t="shared" si="25"/>
        <v>74145.881249999991</v>
      </c>
      <c r="I40" s="5">
        <f t="shared" si="25"/>
        <v>77853.17531250001</v>
      </c>
      <c r="J40" s="6">
        <f t="shared" si="25"/>
        <v>81745.834078125001</v>
      </c>
      <c r="N40" s="12" t="s">
        <v>16</v>
      </c>
      <c r="O40" s="18">
        <f>O39/I76</f>
        <v>18.099986213868927</v>
      </c>
      <c r="P40" s="19">
        <f>O39/I82</f>
        <v>14.898401453570688</v>
      </c>
    </row>
    <row r="41" spans="2:16" ht="15.75" customHeight="1">
      <c r="C41" s="1"/>
      <c r="J41" s="17"/>
      <c r="N41" s="20" t="s">
        <v>17</v>
      </c>
      <c r="O41" s="21">
        <f>O39/J76</f>
        <v>16.765079164141319</v>
      </c>
      <c r="P41" s="19">
        <f>O39/J82</f>
        <v>13.890007480822096</v>
      </c>
    </row>
    <row r="42" spans="2:16" ht="15.75" customHeight="1">
      <c r="B42" s="2" t="s">
        <v>40</v>
      </c>
      <c r="C42" s="1"/>
      <c r="J42" s="17"/>
      <c r="N42" s="1"/>
      <c r="P42" s="30"/>
    </row>
    <row r="43" spans="2:16" ht="15.75" customHeight="1">
      <c r="C43" s="1" t="s">
        <v>41</v>
      </c>
      <c r="D43" s="5">
        <v>143326</v>
      </c>
      <c r="E43" s="5">
        <v>157729</v>
      </c>
      <c r="F43" s="5">
        <v>215259</v>
      </c>
      <c r="G43" s="5">
        <v>74192</v>
      </c>
      <c r="H43" s="5">
        <v>78490</v>
      </c>
      <c r="I43" s="5">
        <v>116068</v>
      </c>
      <c r="J43" s="31">
        <f>8.5%*J85</f>
        <v>174250</v>
      </c>
      <c r="N43" s="38" t="s">
        <v>42</v>
      </c>
      <c r="O43" s="39"/>
      <c r="P43" s="11" t="s">
        <v>6</v>
      </c>
    </row>
    <row r="44" spans="2:16" ht="15.75" customHeight="1">
      <c r="C44" s="1" t="s">
        <v>43</v>
      </c>
      <c r="D44" s="5">
        <v>146816</v>
      </c>
      <c r="E44" s="5">
        <v>146719</v>
      </c>
      <c r="F44" s="5">
        <v>143564</v>
      </c>
      <c r="G44" s="5">
        <v>150902</v>
      </c>
      <c r="H44" s="5">
        <v>145554</v>
      </c>
      <c r="I44" s="5">
        <v>157925</v>
      </c>
      <c r="J44" s="17"/>
      <c r="N44" s="12" t="s">
        <v>35</v>
      </c>
      <c r="O44" s="16">
        <v>750000</v>
      </c>
      <c r="P44" s="14"/>
    </row>
    <row r="45" spans="2:16" ht="15.75" customHeight="1">
      <c r="C45" s="1" t="s">
        <v>44</v>
      </c>
      <c r="D45" s="5">
        <v>6943</v>
      </c>
      <c r="E45" s="5">
        <v>16882</v>
      </c>
      <c r="F45" s="5">
        <v>10987</v>
      </c>
      <c r="G45" s="5">
        <v>13870</v>
      </c>
      <c r="H45" s="5">
        <v>21211</v>
      </c>
      <c r="I45" s="5">
        <v>32364</v>
      </c>
      <c r="J45" s="31">
        <v>35000</v>
      </c>
      <c r="N45" s="12" t="s">
        <v>37</v>
      </c>
      <c r="O45" s="16">
        <f>O44+O30</f>
        <v>2845911</v>
      </c>
      <c r="P45" s="32"/>
    </row>
    <row r="46" spans="2:16" ht="15.75" customHeight="1">
      <c r="C46" s="1" t="s">
        <v>45</v>
      </c>
      <c r="D46" s="5">
        <v>14095</v>
      </c>
      <c r="E46" s="5">
        <v>2662</v>
      </c>
      <c r="F46" s="5">
        <v>-8454</v>
      </c>
      <c r="G46" s="5">
        <v>-58</v>
      </c>
      <c r="H46" s="5">
        <v>3150</v>
      </c>
      <c r="I46" s="5">
        <v>-1552</v>
      </c>
      <c r="J46" s="31"/>
      <c r="N46" s="12" t="s">
        <v>46</v>
      </c>
      <c r="O46" s="16">
        <f>8%*O44</f>
        <v>60000</v>
      </c>
    </row>
    <row r="47" spans="2:16" ht="15.75" customHeight="1">
      <c r="C47" s="1" t="s">
        <v>47</v>
      </c>
      <c r="D47" s="5">
        <v>1168</v>
      </c>
      <c r="E47" s="5">
        <v>-318</v>
      </c>
      <c r="F47" s="5">
        <v>3932</v>
      </c>
      <c r="G47" s="5">
        <v>-6018</v>
      </c>
      <c r="H47" s="5">
        <v>1398</v>
      </c>
      <c r="I47" s="5">
        <v>937</v>
      </c>
      <c r="J47" s="31">
        <v>1000</v>
      </c>
      <c r="N47" s="12" t="s">
        <v>80</v>
      </c>
      <c r="O47" s="33">
        <f>O45/J17</f>
        <v>5.0451827350270078</v>
      </c>
      <c r="P47" s="30"/>
    </row>
    <row r="48" spans="2:16" ht="15.75" customHeight="1">
      <c r="C48" s="1" t="s">
        <v>48</v>
      </c>
      <c r="D48" s="5">
        <v>8805</v>
      </c>
      <c r="E48" s="5">
        <v>6235</v>
      </c>
      <c r="F48" s="5">
        <v>5226</v>
      </c>
      <c r="G48" s="5">
        <v>948</v>
      </c>
      <c r="H48" s="5">
        <v>2226</v>
      </c>
      <c r="I48" s="5">
        <v>7310</v>
      </c>
      <c r="J48" s="31">
        <v>5000</v>
      </c>
      <c r="N48" s="12" t="s">
        <v>81</v>
      </c>
      <c r="O48" s="33">
        <f>O45/J76</f>
        <v>7.8542776314976424</v>
      </c>
      <c r="P48" s="30">
        <f>O45/J82</f>
        <v>6.5073343221247848</v>
      </c>
    </row>
    <row r="49" spans="2:16" ht="15.75" customHeight="1">
      <c r="C49" s="1" t="s">
        <v>49</v>
      </c>
      <c r="D49" s="5">
        <v>0</v>
      </c>
      <c r="E49" s="5">
        <v>1712</v>
      </c>
      <c r="F49" s="5">
        <v>2649</v>
      </c>
      <c r="G49" s="5">
        <v>2327</v>
      </c>
      <c r="H49" s="5">
        <v>4730</v>
      </c>
      <c r="I49" s="5">
        <v>-585</v>
      </c>
      <c r="J49" s="31">
        <v>1000</v>
      </c>
      <c r="N49" s="12" t="s">
        <v>82</v>
      </c>
      <c r="O49" s="33">
        <f>J17/(J43+O46)</f>
        <v>2.4080461942369262</v>
      </c>
      <c r="P49" s="30"/>
    </row>
    <row r="50" spans="2:16" ht="15.75" customHeight="1">
      <c r="C50" s="1" t="s">
        <v>50</v>
      </c>
      <c r="D50" s="5">
        <v>85067</v>
      </c>
      <c r="E50" s="5">
        <v>5792</v>
      </c>
      <c r="F50" s="5">
        <v>0</v>
      </c>
      <c r="G50" s="5">
        <v>0</v>
      </c>
      <c r="H50" s="5">
        <v>9613</v>
      </c>
      <c r="I50" s="5">
        <v>0</v>
      </c>
      <c r="J50" s="31"/>
      <c r="N50" s="20" t="s">
        <v>83</v>
      </c>
      <c r="O50" s="34">
        <f>J76/(J43+O46)</f>
        <v>1.5468046400080044</v>
      </c>
      <c r="P50" s="30">
        <f>J82/(J43+O46)</f>
        <v>1.8669753977454644</v>
      </c>
    </row>
    <row r="51" spans="2:16" ht="15.75" customHeight="1">
      <c r="C51" s="1" t="s">
        <v>51</v>
      </c>
      <c r="D51" s="5">
        <v>-95910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31"/>
    </row>
    <row r="52" spans="2:16" ht="15.75" customHeight="1">
      <c r="C52" s="1" t="s">
        <v>52</v>
      </c>
      <c r="D52" s="5">
        <v>0</v>
      </c>
      <c r="E52" s="5">
        <v>30168</v>
      </c>
      <c r="F52" s="5">
        <v>44262</v>
      </c>
      <c r="G52" s="5">
        <v>20681</v>
      </c>
      <c r="H52" s="5">
        <v>0</v>
      </c>
      <c r="I52" s="5">
        <v>0</v>
      </c>
      <c r="J52" s="31"/>
    </row>
    <row r="53" spans="2:16" ht="15.75" customHeight="1">
      <c r="C53" s="1" t="s">
        <v>53</v>
      </c>
      <c r="D53" s="5">
        <v>4739</v>
      </c>
      <c r="E53" s="5">
        <v>11216</v>
      </c>
      <c r="F53" s="5">
        <v>36671</v>
      </c>
      <c r="G53" s="5">
        <v>45656</v>
      </c>
      <c r="H53" s="5">
        <v>72639</v>
      </c>
      <c r="I53" s="5">
        <v>72122</v>
      </c>
      <c r="J53" s="31">
        <v>75000</v>
      </c>
    </row>
    <row r="54" spans="2:16" ht="15.75" customHeight="1">
      <c r="C54" s="1" t="s">
        <v>54</v>
      </c>
      <c r="D54" s="5">
        <v>0</v>
      </c>
      <c r="E54" s="5">
        <v>0</v>
      </c>
      <c r="F54" s="5">
        <v>0</v>
      </c>
      <c r="G54" s="5">
        <v>0</v>
      </c>
      <c r="H54" s="5">
        <v>408000</v>
      </c>
      <c r="I54" s="5">
        <v>0</v>
      </c>
      <c r="J54" s="31"/>
    </row>
    <row r="55" spans="2:16" ht="15.75" customHeight="1">
      <c r="C55" s="1" t="s">
        <v>55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35000</v>
      </c>
      <c r="J55" s="31"/>
    </row>
    <row r="56" spans="2:16" ht="15.75" customHeight="1">
      <c r="C56" s="1" t="s">
        <v>56</v>
      </c>
      <c r="D56" s="5">
        <v>1366</v>
      </c>
      <c r="E56" s="5">
        <v>2051</v>
      </c>
      <c r="F56" s="5">
        <v>1946</v>
      </c>
      <c r="G56" s="5">
        <v>2252</v>
      </c>
      <c r="H56" s="5">
        <v>2194</v>
      </c>
      <c r="I56" s="5">
        <v>2413</v>
      </c>
      <c r="J56" s="31">
        <v>3000</v>
      </c>
    </row>
    <row r="57" spans="2:16" ht="15.75" customHeight="1">
      <c r="C57" s="1" t="s">
        <v>57</v>
      </c>
      <c r="D57" s="5">
        <v>0</v>
      </c>
      <c r="E57" s="5">
        <v>0</v>
      </c>
      <c r="F57" s="5">
        <v>2677</v>
      </c>
      <c r="G57" s="5">
        <v>761</v>
      </c>
      <c r="H57" s="5">
        <v>155</v>
      </c>
      <c r="I57" s="5">
        <v>0</v>
      </c>
      <c r="J57" s="31">
        <v>0</v>
      </c>
    </row>
    <row r="58" spans="2:16" ht="15.75" customHeight="1">
      <c r="C58" s="1" t="s">
        <v>58</v>
      </c>
      <c r="D58" s="5">
        <f t="shared" ref="D58:J58" si="26">D17-SUM(D43:D57)</f>
        <v>24222</v>
      </c>
      <c r="E58" s="5">
        <f t="shared" si="26"/>
        <v>-916</v>
      </c>
      <c r="F58" s="5">
        <f t="shared" si="26"/>
        <v>-38860</v>
      </c>
      <c r="G58" s="5">
        <f t="shared" si="26"/>
        <v>175716</v>
      </c>
      <c r="H58" s="5">
        <f t="shared" si="26"/>
        <v>-243111</v>
      </c>
      <c r="I58" s="5">
        <f t="shared" si="26"/>
        <v>106028</v>
      </c>
      <c r="J58" s="6">
        <f t="shared" si="26"/>
        <v>269834.821</v>
      </c>
    </row>
    <row r="59" spans="2:16" ht="15.75" customHeight="1">
      <c r="C59" s="1"/>
      <c r="J59" s="17"/>
    </row>
    <row r="60" spans="2:16" ht="15.75" customHeight="1">
      <c r="B60" s="2" t="s">
        <v>59</v>
      </c>
      <c r="C60" s="1"/>
      <c r="J60" s="17"/>
    </row>
    <row r="61" spans="2:16" ht="15.75" customHeight="1">
      <c r="C61" s="1" t="s">
        <v>60</v>
      </c>
      <c r="D61" s="5">
        <f t="shared" ref="D61:J61" si="27">(SUM(D$45,D$47:D$49,D$56:D$57)*65%)+D53</f>
        <v>16622.300000000003</v>
      </c>
      <c r="E61" s="5">
        <f t="shared" si="27"/>
        <v>28481.3</v>
      </c>
      <c r="F61" s="5">
        <f t="shared" si="27"/>
        <v>54492.05</v>
      </c>
      <c r="G61" s="5">
        <f t="shared" si="27"/>
        <v>54847</v>
      </c>
      <c r="H61" s="5">
        <f t="shared" si="27"/>
        <v>93383.1</v>
      </c>
      <c r="I61" s="5">
        <f t="shared" si="27"/>
        <v>99707.35</v>
      </c>
      <c r="J61" s="6">
        <f t="shared" si="27"/>
        <v>104250</v>
      </c>
    </row>
    <row r="62" spans="2:16" ht="15.75" customHeight="1">
      <c r="C62" s="1" t="s">
        <v>61</v>
      </c>
      <c r="D62" s="5">
        <f t="shared" ref="D62:J62" si="28">SUM(D$45,D$47:D$49,D$56:D$57)*15%</f>
        <v>2742.2999999999997</v>
      </c>
      <c r="E62" s="5">
        <f t="shared" si="28"/>
        <v>3984.2999999999997</v>
      </c>
      <c r="F62" s="5">
        <f t="shared" si="28"/>
        <v>4112.55</v>
      </c>
      <c r="G62" s="5">
        <f t="shared" si="28"/>
        <v>2121</v>
      </c>
      <c r="H62" s="5">
        <f t="shared" si="28"/>
        <v>4787.0999999999995</v>
      </c>
      <c r="I62" s="5">
        <f t="shared" si="28"/>
        <v>6365.8499999999995</v>
      </c>
      <c r="J62" s="6">
        <f t="shared" si="28"/>
        <v>6750</v>
      </c>
    </row>
    <row r="63" spans="2:16" ht="15.75" customHeight="1">
      <c r="C63" s="1" t="s">
        <v>62</v>
      </c>
      <c r="D63" s="5">
        <f t="shared" ref="D63:J63" si="29">SUM(D$45,D$47:D$49,D$56:D$57)*20%</f>
        <v>3656.4</v>
      </c>
      <c r="E63" s="5">
        <f t="shared" si="29"/>
        <v>5312.4000000000005</v>
      </c>
      <c r="F63" s="5">
        <f t="shared" si="29"/>
        <v>5483.4000000000005</v>
      </c>
      <c r="G63" s="5">
        <f t="shared" si="29"/>
        <v>2828</v>
      </c>
      <c r="H63" s="5">
        <f t="shared" si="29"/>
        <v>6382.8</v>
      </c>
      <c r="I63" s="5">
        <f t="shared" si="29"/>
        <v>8487.8000000000011</v>
      </c>
      <c r="J63" s="6">
        <f t="shared" si="29"/>
        <v>9000</v>
      </c>
    </row>
    <row r="64" spans="2:16" ht="15.75" customHeight="1">
      <c r="C64" s="1" t="s">
        <v>12</v>
      </c>
      <c r="D64" s="35">
        <f t="shared" ref="D64:J64" si="30">SUM(D61:D63)</f>
        <v>23021.000000000004</v>
      </c>
      <c r="E64" s="35">
        <f t="shared" si="30"/>
        <v>37778</v>
      </c>
      <c r="F64" s="35">
        <f t="shared" si="30"/>
        <v>64088.000000000007</v>
      </c>
      <c r="G64" s="35">
        <f t="shared" si="30"/>
        <v>59796</v>
      </c>
      <c r="H64" s="35">
        <f t="shared" si="30"/>
        <v>104553.00000000001</v>
      </c>
      <c r="I64" s="35">
        <f t="shared" si="30"/>
        <v>114561.00000000001</v>
      </c>
      <c r="J64" s="31">
        <f t="shared" si="30"/>
        <v>120000</v>
      </c>
    </row>
    <row r="65" spans="2:10" ht="15.75" customHeight="1">
      <c r="C65" s="1"/>
      <c r="J65" s="17"/>
    </row>
    <row r="66" spans="2:10" ht="15.75" customHeight="1">
      <c r="B66" s="2" t="s">
        <v>63</v>
      </c>
      <c r="C66" s="1"/>
      <c r="J66" s="17"/>
    </row>
    <row r="67" spans="2:10" ht="15.75" customHeight="1">
      <c r="C67" s="1" t="s">
        <v>2</v>
      </c>
      <c r="D67" s="5">
        <f t="shared" ref="D67:J67" si="31">D13-D61</f>
        <v>199867.7</v>
      </c>
      <c r="E67" s="5">
        <f t="shared" si="31"/>
        <v>216422.7</v>
      </c>
      <c r="F67" s="5">
        <f t="shared" si="31"/>
        <v>212146.95</v>
      </c>
      <c r="G67" s="5">
        <f t="shared" si="31"/>
        <v>255623</v>
      </c>
      <c r="H67" s="5">
        <f t="shared" si="31"/>
        <v>245760.9</v>
      </c>
      <c r="I67" s="5">
        <f t="shared" si="31"/>
        <v>262504.65000000002</v>
      </c>
      <c r="J67" s="6">
        <f t="shared" si="31"/>
        <v>281151.00100000005</v>
      </c>
    </row>
    <row r="68" spans="2:10" ht="15.75" customHeight="1">
      <c r="C68" s="1" t="s">
        <v>4</v>
      </c>
      <c r="D68" s="5">
        <f t="shared" ref="D68:J68" si="32">D14-D62</f>
        <v>57545.7</v>
      </c>
      <c r="E68" s="5">
        <f t="shared" si="32"/>
        <v>58211.7</v>
      </c>
      <c r="F68" s="5">
        <f t="shared" si="32"/>
        <v>62690.45</v>
      </c>
      <c r="G68" s="5">
        <f t="shared" si="32"/>
        <v>80552</v>
      </c>
      <c r="H68" s="5">
        <f t="shared" si="32"/>
        <v>84689.9</v>
      </c>
      <c r="I68" s="5">
        <f t="shared" si="32"/>
        <v>90313.15</v>
      </c>
      <c r="J68" s="6">
        <f t="shared" si="32"/>
        <v>94339.17</v>
      </c>
    </row>
    <row r="69" spans="2:10" ht="15.75" customHeight="1">
      <c r="C69" s="1" t="s">
        <v>7</v>
      </c>
      <c r="D69" s="5">
        <f t="shared" ref="D69:J69" si="33">D15-D63</f>
        <v>55258.6</v>
      </c>
      <c r="E69" s="5">
        <f t="shared" si="33"/>
        <v>67519.600000000006</v>
      </c>
      <c r="F69" s="5">
        <f t="shared" si="33"/>
        <v>80933.600000000006</v>
      </c>
      <c r="G69" s="5">
        <f t="shared" si="33"/>
        <v>85258</v>
      </c>
      <c r="H69" s="5">
        <f t="shared" si="33"/>
        <v>71245.2</v>
      </c>
      <c r="I69" s="5">
        <f t="shared" si="33"/>
        <v>60651.199999999997</v>
      </c>
      <c r="J69" s="6">
        <f t="shared" si="33"/>
        <v>68594.649999999994</v>
      </c>
    </row>
    <row r="70" spans="2:10" ht="15.75" customHeight="1">
      <c r="C70" s="1" t="s">
        <v>12</v>
      </c>
      <c r="D70" s="5">
        <f t="shared" ref="D70:J70" si="34">SUM(D67:D69)</f>
        <v>312672</v>
      </c>
      <c r="E70" s="5">
        <f t="shared" si="34"/>
        <v>342154</v>
      </c>
      <c r="F70" s="5">
        <f t="shared" si="34"/>
        <v>355771</v>
      </c>
      <c r="G70" s="5">
        <f t="shared" si="34"/>
        <v>421433</v>
      </c>
      <c r="H70" s="5">
        <f t="shared" si="34"/>
        <v>401696</v>
      </c>
      <c r="I70" s="5">
        <f t="shared" si="34"/>
        <v>413469.00000000006</v>
      </c>
      <c r="J70" s="6">
        <f t="shared" si="34"/>
        <v>444084.821</v>
      </c>
    </row>
    <row r="71" spans="2:10" ht="15.75" customHeight="1">
      <c r="C71" s="1"/>
      <c r="J71" s="17"/>
    </row>
    <row r="72" spans="2:10" ht="15.75" customHeight="1">
      <c r="B72" s="2" t="s">
        <v>64</v>
      </c>
      <c r="C72" s="1"/>
      <c r="J72" s="17"/>
    </row>
    <row r="73" spans="2:10" ht="15.75" customHeight="1">
      <c r="C73" s="1" t="s">
        <v>2</v>
      </c>
      <c r="D73" s="5">
        <f t="shared" ref="D73:J73" si="35">D67-D37</f>
        <v>149867.70000000001</v>
      </c>
      <c r="E73" s="5">
        <f t="shared" si="35"/>
        <v>163922.70000000001</v>
      </c>
      <c r="F73" s="5">
        <f t="shared" si="35"/>
        <v>157021.95000000001</v>
      </c>
      <c r="G73" s="5">
        <f t="shared" si="35"/>
        <v>197741.75</v>
      </c>
      <c r="H73" s="5">
        <f t="shared" si="35"/>
        <v>184985.58749999999</v>
      </c>
      <c r="I73" s="5">
        <f t="shared" si="35"/>
        <v>198690.57187500002</v>
      </c>
      <c r="J73" s="6">
        <f t="shared" si="35"/>
        <v>214146.21896875004</v>
      </c>
    </row>
    <row r="74" spans="2:10" ht="15.75" customHeight="1">
      <c r="C74" s="1" t="s">
        <v>4</v>
      </c>
      <c r="D74" s="5">
        <f t="shared" ref="D74:J74" si="36">D68-D38</f>
        <v>53545.7</v>
      </c>
      <c r="E74" s="5">
        <f t="shared" si="36"/>
        <v>54011.7</v>
      </c>
      <c r="F74" s="5">
        <f t="shared" si="36"/>
        <v>58280.45</v>
      </c>
      <c r="G74" s="5">
        <f t="shared" si="36"/>
        <v>75921.5</v>
      </c>
      <c r="H74" s="5">
        <f t="shared" si="36"/>
        <v>79827.875</v>
      </c>
      <c r="I74" s="5">
        <f t="shared" si="36"/>
        <v>85208.023749999993</v>
      </c>
      <c r="J74" s="6">
        <f t="shared" si="36"/>
        <v>88978.787437499996</v>
      </c>
    </row>
    <row r="75" spans="2:10" ht="15.75" customHeight="1">
      <c r="C75" s="1" t="s">
        <v>7</v>
      </c>
      <c r="D75" s="5">
        <f t="shared" ref="D75:J75" si="37">D69-D39</f>
        <v>48258.6</v>
      </c>
      <c r="E75" s="5">
        <f t="shared" si="37"/>
        <v>60169.600000000006</v>
      </c>
      <c r="F75" s="5">
        <f t="shared" si="37"/>
        <v>73216.100000000006</v>
      </c>
      <c r="G75" s="5">
        <f t="shared" si="37"/>
        <v>77154.625</v>
      </c>
      <c r="H75" s="5">
        <f t="shared" si="37"/>
        <v>62736.65625</v>
      </c>
      <c r="I75" s="5">
        <f t="shared" si="37"/>
        <v>51717.229062499995</v>
      </c>
      <c r="J75" s="6">
        <f t="shared" si="37"/>
        <v>59213.980515624993</v>
      </c>
    </row>
    <row r="76" spans="2:10" ht="15.75" customHeight="1">
      <c r="C76" s="1" t="s">
        <v>12</v>
      </c>
      <c r="D76" s="5">
        <f t="shared" ref="D76:J76" si="38">SUM(D73:D75)</f>
        <v>251672.00000000003</v>
      </c>
      <c r="E76" s="5">
        <f t="shared" si="38"/>
        <v>278104</v>
      </c>
      <c r="F76" s="5">
        <f t="shared" si="38"/>
        <v>288518.5</v>
      </c>
      <c r="G76" s="5">
        <f t="shared" si="38"/>
        <v>350817.875</v>
      </c>
      <c r="H76" s="5">
        <f t="shared" si="38"/>
        <v>327550.11875000002</v>
      </c>
      <c r="I76" s="5">
        <f t="shared" si="38"/>
        <v>335615.82468750002</v>
      </c>
      <c r="J76" s="6">
        <f t="shared" si="38"/>
        <v>362338.98692187504</v>
      </c>
    </row>
    <row r="77" spans="2:10" ht="15.75" customHeight="1">
      <c r="C77" s="1"/>
      <c r="J77" s="17"/>
    </row>
    <row r="78" spans="2:10" ht="15.75" customHeight="1">
      <c r="B78" s="2" t="s">
        <v>65</v>
      </c>
      <c r="C78" s="1"/>
      <c r="J78" s="17"/>
    </row>
    <row r="79" spans="2:10" ht="15.75" customHeight="1">
      <c r="C79" s="1" t="s">
        <v>2</v>
      </c>
      <c r="D79" s="5">
        <f t="shared" ref="D79:J79" si="39">D73+D53</f>
        <v>154606.70000000001</v>
      </c>
      <c r="E79" s="5">
        <f t="shared" si="39"/>
        <v>175138.7</v>
      </c>
      <c r="F79" s="5">
        <f t="shared" si="39"/>
        <v>193692.95</v>
      </c>
      <c r="G79" s="5">
        <f t="shared" si="39"/>
        <v>243397.75</v>
      </c>
      <c r="H79" s="5">
        <f t="shared" si="39"/>
        <v>257624.58749999999</v>
      </c>
      <c r="I79" s="5">
        <f t="shared" si="39"/>
        <v>270812.57187500002</v>
      </c>
      <c r="J79" s="6">
        <f t="shared" si="39"/>
        <v>289146.21896875004</v>
      </c>
    </row>
    <row r="80" spans="2:10" ht="15.75" customHeight="1">
      <c r="C80" s="1" t="s">
        <v>4</v>
      </c>
      <c r="D80" s="5">
        <f t="shared" ref="D80:J80" si="40">D74</f>
        <v>53545.7</v>
      </c>
      <c r="E80" s="5">
        <f t="shared" si="40"/>
        <v>54011.7</v>
      </c>
      <c r="F80" s="5">
        <f t="shared" si="40"/>
        <v>58280.45</v>
      </c>
      <c r="G80" s="5">
        <f t="shared" si="40"/>
        <v>75921.5</v>
      </c>
      <c r="H80" s="5">
        <f t="shared" si="40"/>
        <v>79827.875</v>
      </c>
      <c r="I80" s="5">
        <f t="shared" si="40"/>
        <v>85208.023749999993</v>
      </c>
      <c r="J80" s="6">
        <f t="shared" si="40"/>
        <v>88978.787437499996</v>
      </c>
    </row>
    <row r="81" spans="2:10" ht="15.75" customHeight="1">
      <c r="C81" s="1" t="s">
        <v>7</v>
      </c>
      <c r="D81" s="5">
        <f t="shared" ref="D81:J81" si="41">D75</f>
        <v>48258.6</v>
      </c>
      <c r="E81" s="5">
        <f t="shared" si="41"/>
        <v>60169.600000000006</v>
      </c>
      <c r="F81" s="5">
        <f t="shared" si="41"/>
        <v>73216.100000000006</v>
      </c>
      <c r="G81" s="5">
        <f t="shared" si="41"/>
        <v>77154.625</v>
      </c>
      <c r="H81" s="5">
        <f t="shared" si="41"/>
        <v>62736.65625</v>
      </c>
      <c r="I81" s="5">
        <f t="shared" si="41"/>
        <v>51717.229062499995</v>
      </c>
      <c r="J81" s="6">
        <f t="shared" si="41"/>
        <v>59213.980515624993</v>
      </c>
    </row>
    <row r="82" spans="2:10" ht="15.75" customHeight="1">
      <c r="C82" s="1" t="s">
        <v>12</v>
      </c>
      <c r="D82" s="5">
        <f t="shared" ref="D82:J82" si="42">SUM(D79:D81)</f>
        <v>256411.00000000003</v>
      </c>
      <c r="E82" s="5">
        <f t="shared" si="42"/>
        <v>289320</v>
      </c>
      <c r="F82" s="5">
        <f t="shared" si="42"/>
        <v>325189.5</v>
      </c>
      <c r="G82" s="5">
        <f t="shared" si="42"/>
        <v>396473.875</v>
      </c>
      <c r="H82" s="5">
        <f t="shared" si="42"/>
        <v>400189.11875000002</v>
      </c>
      <c r="I82" s="5">
        <f t="shared" si="42"/>
        <v>407737.82468750002</v>
      </c>
      <c r="J82" s="6">
        <f t="shared" si="42"/>
        <v>437338.98692187504</v>
      </c>
    </row>
    <row r="83" spans="2:10" ht="15.75" customHeight="1">
      <c r="C83" s="1"/>
      <c r="D83" s="5"/>
      <c r="E83" s="5"/>
      <c r="F83" s="5"/>
      <c r="G83" s="5"/>
      <c r="H83" s="5"/>
      <c r="I83" s="5"/>
      <c r="J83" s="17"/>
    </row>
    <row r="84" spans="2:10" ht="15.75" customHeight="1">
      <c r="B84" s="2" t="s">
        <v>66</v>
      </c>
      <c r="C84" s="1"/>
      <c r="J84" s="17"/>
    </row>
    <row r="85" spans="2:10" ht="15.75" customHeight="1">
      <c r="C85" s="1" t="s">
        <v>13</v>
      </c>
      <c r="D85" s="5">
        <v>2234080</v>
      </c>
      <c r="E85" s="5">
        <v>2882537</v>
      </c>
      <c r="F85" s="5">
        <v>1918140</v>
      </c>
      <c r="G85" s="5">
        <v>1796685</v>
      </c>
      <c r="H85" s="5">
        <v>1703051</v>
      </c>
      <c r="I85" s="5">
        <v>2095911</v>
      </c>
      <c r="J85" s="6">
        <v>2050000</v>
      </c>
    </row>
    <row r="86" spans="2:10" ht="15.75" customHeight="1">
      <c r="C86" s="1" t="s">
        <v>67</v>
      </c>
      <c r="D86" s="36">
        <f t="shared" ref="D86:J86" si="43">D85/D17</f>
        <v>6.5585359194685253</v>
      </c>
      <c r="E86" s="36">
        <f t="shared" si="43"/>
        <v>7.5869813545581843</v>
      </c>
      <c r="F86" s="36">
        <f t="shared" si="43"/>
        <v>4.5685337220352551</v>
      </c>
      <c r="G86" s="36">
        <f t="shared" si="43"/>
        <v>3.7335343464338182</v>
      </c>
      <c r="H86" s="36">
        <f t="shared" si="43"/>
        <v>3.3640580030775369</v>
      </c>
      <c r="I86" s="36">
        <f t="shared" si="43"/>
        <v>3.9693028805181525</v>
      </c>
      <c r="J86" s="37">
        <f t="shared" si="43"/>
        <v>3.6342052182255054</v>
      </c>
    </row>
    <row r="87" spans="2:10" ht="15.75" customHeight="1">
      <c r="C87" s="1" t="s">
        <v>68</v>
      </c>
      <c r="D87" s="36">
        <f t="shared" ref="D87:J87" si="44">D85/D76</f>
        <v>8.8769509520328036</v>
      </c>
      <c r="E87" s="36">
        <f t="shared" si="44"/>
        <v>10.364960590282772</v>
      </c>
      <c r="F87" s="36">
        <f t="shared" si="44"/>
        <v>6.6482391943670853</v>
      </c>
      <c r="G87" s="36">
        <f t="shared" si="44"/>
        <v>5.121418057731522</v>
      </c>
      <c r="H87" s="36">
        <f t="shared" si="44"/>
        <v>5.1993600445000601</v>
      </c>
      <c r="I87" s="36">
        <f t="shared" si="44"/>
        <v>6.2449707249399022</v>
      </c>
      <c r="J87" s="37">
        <f t="shared" si="44"/>
        <v>5.6576854106014443</v>
      </c>
    </row>
    <row r="88" spans="2:10" ht="15.75" customHeight="1">
      <c r="C88" s="1" t="s">
        <v>69</v>
      </c>
      <c r="D88" s="36">
        <f t="shared" ref="D88:J88" si="45">D85/D82</f>
        <v>8.7128867326284745</v>
      </c>
      <c r="E88" s="36">
        <f t="shared" si="45"/>
        <v>9.963144614959214</v>
      </c>
      <c r="F88" s="36">
        <f t="shared" si="45"/>
        <v>5.8985299340845874</v>
      </c>
      <c r="G88" s="36">
        <f t="shared" si="45"/>
        <v>4.5316605034821018</v>
      </c>
      <c r="H88" s="36">
        <f t="shared" si="45"/>
        <v>4.2556154583101087</v>
      </c>
      <c r="I88" s="36">
        <f t="shared" si="45"/>
        <v>5.1403398779751575</v>
      </c>
      <c r="J88" s="37">
        <f t="shared" si="45"/>
        <v>4.687439403535743</v>
      </c>
    </row>
    <row r="89" spans="2:10" ht="15.75" customHeight="1">
      <c r="C89" s="1" t="s">
        <v>70</v>
      </c>
      <c r="D89" s="36">
        <f t="shared" ref="D89:J89" si="46">D17/D43</f>
        <v>2.3766588057993663</v>
      </c>
      <c r="E89" s="36">
        <f t="shared" si="46"/>
        <v>2.4087643996982164</v>
      </c>
      <c r="F89" s="36">
        <f t="shared" si="46"/>
        <v>1.95048290663805</v>
      </c>
      <c r="G89" s="36">
        <f t="shared" si="46"/>
        <v>6.4862653655380633</v>
      </c>
      <c r="H89" s="36">
        <f t="shared" si="46"/>
        <v>6.4498534845203208</v>
      </c>
      <c r="I89" s="36">
        <f t="shared" si="46"/>
        <v>4.5493159182548162</v>
      </c>
      <c r="J89" s="37">
        <f t="shared" si="46"/>
        <v>3.2372156154949785</v>
      </c>
    </row>
    <row r="90" spans="2:10" ht="15.75" customHeight="1">
      <c r="C90" s="1" t="s">
        <v>71</v>
      </c>
      <c r="D90" s="36">
        <f t="shared" ref="D90:J90" si="47">D76/D43</f>
        <v>1.7559410016326418</v>
      </c>
      <c r="E90" s="36">
        <f t="shared" si="47"/>
        <v>1.7631760804924903</v>
      </c>
      <c r="F90" s="36">
        <f t="shared" si="47"/>
        <v>1.3403318792710177</v>
      </c>
      <c r="G90" s="36">
        <f t="shared" si="47"/>
        <v>4.7285135189777874</v>
      </c>
      <c r="H90" s="36">
        <f t="shared" si="47"/>
        <v>4.1731445884826099</v>
      </c>
      <c r="I90" s="36">
        <f t="shared" si="47"/>
        <v>2.8915448244778923</v>
      </c>
      <c r="J90" s="37">
        <f t="shared" si="47"/>
        <v>2.0794202979734577</v>
      </c>
    </row>
    <row r="91" spans="2:10" ht="15.75" customHeight="1">
      <c r="C91" s="1" t="s">
        <v>72</v>
      </c>
      <c r="D91" s="36">
        <f t="shared" ref="D91:J91" si="48">D82/D43</f>
        <v>1.7890054840015073</v>
      </c>
      <c r="E91" s="36">
        <f t="shared" si="48"/>
        <v>1.8342853882291779</v>
      </c>
      <c r="F91" s="36">
        <f t="shared" si="48"/>
        <v>1.5106894485248004</v>
      </c>
      <c r="G91" s="36">
        <f t="shared" si="48"/>
        <v>5.3438898398749188</v>
      </c>
      <c r="H91" s="36">
        <f t="shared" si="48"/>
        <v>5.0986000605172634</v>
      </c>
      <c r="I91" s="36">
        <f t="shared" si="48"/>
        <v>3.5129219482329326</v>
      </c>
      <c r="J91" s="37">
        <f t="shared" si="48"/>
        <v>2.509836366840029</v>
      </c>
    </row>
    <row r="92" spans="2:10" ht="15.75" customHeight="1">
      <c r="C92" s="1"/>
      <c r="D92" s="5"/>
      <c r="E92" s="5"/>
      <c r="F92" s="5"/>
      <c r="G92" s="5"/>
      <c r="H92" s="5"/>
      <c r="I92" s="5"/>
      <c r="J92" s="17"/>
    </row>
    <row r="93" spans="2:10" ht="15.75" customHeight="1">
      <c r="B93" s="2" t="s">
        <v>73</v>
      </c>
      <c r="C93" s="1"/>
      <c r="D93" s="5"/>
      <c r="E93" s="5"/>
      <c r="F93" s="5"/>
      <c r="G93" s="5"/>
      <c r="H93" s="5"/>
      <c r="I93" s="5"/>
      <c r="J93" s="17"/>
    </row>
    <row r="94" spans="2:10" ht="15.75" customHeight="1">
      <c r="C94" s="1" t="s">
        <v>13</v>
      </c>
      <c r="D94" s="5">
        <f t="shared" ref="D94:J94" si="49">D85</f>
        <v>2234080</v>
      </c>
      <c r="E94" s="5">
        <f t="shared" si="49"/>
        <v>2882537</v>
      </c>
      <c r="F94" s="5">
        <f t="shared" si="49"/>
        <v>1918140</v>
      </c>
      <c r="G94" s="5">
        <f t="shared" si="49"/>
        <v>1796685</v>
      </c>
      <c r="H94" s="5">
        <f t="shared" si="49"/>
        <v>1703051</v>
      </c>
      <c r="I94" s="5">
        <f t="shared" si="49"/>
        <v>2095911</v>
      </c>
      <c r="J94" s="6">
        <f t="shared" si="49"/>
        <v>2050000</v>
      </c>
    </row>
    <row r="95" spans="2:10" ht="15.75" customHeight="1">
      <c r="C95" s="1" t="s">
        <v>74</v>
      </c>
      <c r="D95" s="5">
        <v>45491</v>
      </c>
      <c r="E95" s="5">
        <v>-641132</v>
      </c>
      <c r="F95" s="5">
        <v>452302</v>
      </c>
      <c r="G95" s="5">
        <v>586096</v>
      </c>
      <c r="H95" s="5">
        <v>350238</v>
      </c>
      <c r="I95" s="5">
        <v>443734</v>
      </c>
      <c r="J95" s="6">
        <v>550000</v>
      </c>
    </row>
    <row r="96" spans="2:10" ht="15.75" customHeight="1">
      <c r="C96" s="1" t="s">
        <v>75</v>
      </c>
      <c r="D96" s="5">
        <f t="shared" ref="D96:J96" si="50">SUM(D94:D95)</f>
        <v>2279571</v>
      </c>
      <c r="E96" s="5">
        <f t="shared" si="50"/>
        <v>2241405</v>
      </c>
      <c r="F96" s="5">
        <f t="shared" si="50"/>
        <v>2370442</v>
      </c>
      <c r="G96" s="5">
        <f t="shared" si="50"/>
        <v>2382781</v>
      </c>
      <c r="H96" s="5">
        <f t="shared" si="50"/>
        <v>2053289</v>
      </c>
      <c r="I96" s="5">
        <f t="shared" si="50"/>
        <v>2539645</v>
      </c>
      <c r="J96" s="6">
        <f t="shared" si="50"/>
        <v>2600000</v>
      </c>
    </row>
    <row r="97" spans="2:10" ht="15.75" customHeight="1">
      <c r="C97" s="1" t="s">
        <v>76</v>
      </c>
      <c r="D97" s="5">
        <v>2708584</v>
      </c>
      <c r="E97" s="5">
        <v>2580674</v>
      </c>
      <c r="F97" s="5">
        <v>2761279</v>
      </c>
      <c r="G97" s="5">
        <v>2789502</v>
      </c>
      <c r="H97" s="5">
        <v>3117705</v>
      </c>
      <c r="I97" s="5">
        <v>3130420</v>
      </c>
      <c r="J97" s="6">
        <v>3286941</v>
      </c>
    </row>
    <row r="98" spans="2:10" ht="15.75" customHeight="1">
      <c r="C98" s="1"/>
      <c r="D98" s="5"/>
      <c r="E98" s="5"/>
      <c r="F98" s="23"/>
      <c r="G98" s="23"/>
      <c r="H98" s="23"/>
      <c r="I98" s="23"/>
      <c r="J98" s="17"/>
    </row>
    <row r="99" spans="2:10" ht="15.75" customHeight="1">
      <c r="B99" s="2" t="s">
        <v>77</v>
      </c>
      <c r="C99" s="1"/>
      <c r="D99" s="5"/>
      <c r="E99" s="5"/>
      <c r="F99" s="5"/>
      <c r="G99" s="5"/>
      <c r="H99" s="5"/>
      <c r="I99" s="5"/>
      <c r="J99" s="17"/>
    </row>
    <row r="100" spans="2:10" ht="15.75" customHeight="1">
      <c r="C100" s="1" t="s">
        <v>78</v>
      </c>
      <c r="D100" s="5"/>
      <c r="E100" s="24">
        <f t="shared" ref="E100:J100" si="51">(E76*0.75)/AVERAGE(D96:E96)</f>
        <v>9.2271226390053834E-2</v>
      </c>
      <c r="F100" s="24">
        <f t="shared" si="51"/>
        <v>9.384043963297134E-2</v>
      </c>
      <c r="G100" s="24">
        <f t="shared" si="51"/>
        <v>0.1107094728145513</v>
      </c>
      <c r="H100" s="24">
        <f t="shared" si="51"/>
        <v>0.11075685868910996</v>
      </c>
      <c r="I100" s="24">
        <f t="shared" si="51"/>
        <v>0.10960831072931813</v>
      </c>
      <c r="J100" s="25">
        <f t="shared" si="51"/>
        <v>0.10574825311530515</v>
      </c>
    </row>
    <row r="101" spans="2:10" ht="15.75" customHeight="1">
      <c r="C101" s="1" t="s">
        <v>79</v>
      </c>
      <c r="D101" s="5"/>
      <c r="E101" s="24">
        <f t="shared" ref="E101:J101" si="52">(E82*0.75)/AVERAGE(D97:E97)</f>
        <v>8.2049315801951808E-2</v>
      </c>
      <c r="F101" s="24">
        <f t="shared" si="52"/>
        <v>9.1311969611114138E-2</v>
      </c>
      <c r="G101" s="24">
        <f t="shared" si="52"/>
        <v>0.10714002452988147</v>
      </c>
      <c r="H101" s="24">
        <f t="shared" si="52"/>
        <v>0.10161886626370129</v>
      </c>
      <c r="I101" s="24">
        <f t="shared" si="52"/>
        <v>9.7886443858157451E-2</v>
      </c>
      <c r="J101" s="25">
        <f t="shared" si="52"/>
        <v>0.10222402641565786</v>
      </c>
    </row>
    <row r="102" spans="2:10" ht="15.75" customHeight="1">
      <c r="C102" s="1"/>
      <c r="J102" s="17"/>
    </row>
    <row r="103" spans="2:10" ht="15.75" customHeight="1">
      <c r="C103" s="1"/>
    </row>
    <row r="104" spans="2:10" ht="15.75" customHeight="1">
      <c r="C104" s="1"/>
    </row>
    <row r="105" spans="2:10" ht="15.75" customHeight="1">
      <c r="C105" s="1"/>
    </row>
    <row r="106" spans="2:10" ht="15.75" customHeight="1">
      <c r="C106" s="1"/>
    </row>
    <row r="107" spans="2:10" ht="15.75" customHeight="1">
      <c r="C107" s="1"/>
    </row>
    <row r="108" spans="2:10" ht="15.75" customHeight="1">
      <c r="C108" s="1"/>
    </row>
    <row r="109" spans="2:10" ht="15.75" customHeight="1">
      <c r="C109" s="1"/>
    </row>
    <row r="110" spans="2:10" ht="15.75" customHeight="1">
      <c r="C110" s="1"/>
    </row>
    <row r="111" spans="2:10" ht="15.75" customHeight="1">
      <c r="C111" s="1"/>
    </row>
    <row r="112" spans="2:10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5">
    <mergeCell ref="N6:O6"/>
    <mergeCell ref="N15:O15"/>
    <mergeCell ref="N25:O25"/>
    <mergeCell ref="N35:O35"/>
    <mergeCell ref="N43:O4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Parker</dc:creator>
  <cp:lastModifiedBy>Jordan Parker</cp:lastModifiedBy>
  <dcterms:created xsi:type="dcterms:W3CDTF">2024-04-21T20:59:52Z</dcterms:created>
  <dcterms:modified xsi:type="dcterms:W3CDTF">2024-04-28T00:35:53Z</dcterms:modified>
</cp:coreProperties>
</file>